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D:\Mi unidad\OCI 2022\Evaluacion SCI\"/>
    </mc:Choice>
  </mc:AlternateContent>
  <xr:revisionPtr revIDLastSave="0" documentId="13_ncr:1_{5671E166-73C8-4FAA-B6CF-89678895C4B9}" xr6:coauthVersionLast="47" xr6:coauthVersionMax="47" xr10:uidLastSave="{00000000-0000-0000-0000-000000000000}"/>
  <bookViews>
    <workbookView xWindow="-108" yWindow="-108" windowWidth="23256" windowHeight="12576" activeTab="3" xr2:uid="{00000000-000D-0000-FFFF-FFFF00000000}"/>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<sst xmlns="http://schemas.openxmlformats.org/spreadsheetml/2006/main" count="502" uniqueCount="232">
  <si>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</si>
  <si>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</si>
  <si>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</si>
  <si>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</si>
  <si>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</si>
  <si>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</si>
  <si>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</si>
  <si>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</si>
  <si>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</si>
  <si>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</si>
  <si>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</si>
  <si>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</si>
  <si>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</si>
  <si>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</si>
  <si>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</si>
  <si>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</si>
  <si>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</si>
  <si>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</si>
  <si>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</si>
  <si>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</si>
  <si>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</si>
  <si>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</si>
  <si>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</si>
  <si>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</si>
  <si>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</si>
  <si>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</si>
  <si>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</si>
  <si>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</si>
  <si>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</si>
  <si>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</si>
  <si>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</si>
  <si>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</si>
  <si>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</si>
  <si>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</si>
  <si>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</si>
  <si>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</si>
  <si>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</si>
  <si>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</si>
  <si>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</si>
  <si>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</si>
  <si>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</si>
  <si>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</si>
  <si>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</si>
  <si>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</si>
  <si>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</si>
  <si>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</si>
  <si>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</si>
  <si>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</si>
  <si>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</si>
  <si>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</si>
  <si>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</si>
  <si>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</si>
  <si>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</si>
  <si>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</si>
  <si>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</si>
  <si>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</si>
  <si>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</si>
  <si>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</si>
  <si>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</si>
  <si>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</si>
  <si>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</si>
  <si>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</si>
  <si>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</si>
  <si>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</si>
  <si>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</si>
  <si>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</si>
  <si>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</si>
  <si>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</si>
  <si>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</si>
  <si>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</si>
  <si>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</si>
  <si>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</si>
  <si>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</si>
  <si>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</si>
  <si>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</si>
  <si>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</si>
  <si>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</si>
  <si>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</si>
  <si>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</si>
  <si>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</si>
  <si>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</si>
  <si>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</si>
  <si>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</si>
  <si>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</si>
  <si>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</si>
  <si>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</si>
  <si>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</si>
  <si>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</si>
  <si>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</si>
  <si>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</si>
  <si>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</si>
  <si>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</si>
  <si>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</si>
  <si>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</si>
  <si>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</si>
  <si>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</si>
  <si>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</si>
  <si>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</si>
  <si>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</si>
  <si>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</si>
  <si>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</si>
  <si>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</si>
  <si>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</si>
  <si>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</si>
  <si>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</si>
  <si>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</si>
  <si>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</si>
  <si>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</si>
  <si>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</si>
  <si>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</si>
  <si>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</si>
  <si>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</si>
  <si>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</si>
  <si>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</si>
  <si>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</si>
  <si>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</si>
  <si>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</si>
  <si>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</si>
  <si>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</si>
  <si>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</si>
  <si>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</si>
  <si>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</si>
  <si>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</si>
  <si>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</si>
  <si>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</si>
  <si>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</si>
  <si>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</si>
  <si>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</si>
  <si>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</si>
  <si>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</si>
  <si>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</si>
  <si>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</si>
  <si>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</si>
  <si>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</si>
  <si>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</si>
  <si>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</si>
  <si>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</si>
  <si>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</si>
  <si>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</si>
  <si>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</si>
  <si>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</si>
  <si>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</si>
  <si>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</si>
  <si>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</si>
  <si>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</si>
  <si>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</si>
  <si>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</si>
  <si>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</si>
  <si>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</si>
  <si>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</si>
  <si>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</si>
  <si>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</si>
  <si>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</si>
  <si>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</si>
  <si>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</si>
  <si>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</si>
  <si>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</si>
  <si>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</si>
  <si>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</si>
  <si>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</si>
  <si>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</si>
  <si>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</si>
  <si>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</si>
  <si>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</si>
  <si>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</si>
  <si>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</si>
  <si>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</si>
  <si>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</si>
  <si>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</si>
  <si>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</si>
  <si>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</si>
  <si>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</si>
  <si>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</si>
  <si>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</si>
  <si>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</si>
  <si>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</si>
  <si>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</si>
  <si>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</si>
  <si>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</si>
  <si>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</si>
  <si>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</si>
  <si>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</si>
  <si>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</si>
  <si>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</si>
  <si>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</si>
  <si>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</si>
  <si>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</si>
  <si>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</si>
  <si>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</si>
  <si>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</si>
  <si>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</si>
  <si>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La entidad no esta obligada</t>
  </si>
  <si>
    <t>Plan Estrategico 2019 -2022 y sus proyectos de inversión</t>
  </si>
  <si>
    <t>la organización se rediseño en diciembre de 2021 creando las oficinas de Control Interno y Administrativa y financiera</t>
  </si>
  <si>
    <t>Resolución 13 de 2022</t>
  </si>
  <si>
    <t>Se registra en la herramienta KAWAK</t>
  </si>
  <si>
    <t>Los funcionarios son vinculados a termino fijo de 1 año y por su carácter suigeneris se les aplica las normas de Código Sustantivo del Trabajo</t>
  </si>
  <si>
    <t>Si se aplica un proceso de inducción y existe planes de capacitación y bienestar que se estan ejecutando</t>
  </si>
  <si>
    <t>Se desvinculan informando la terminación del contrato con un mes de anticipación</t>
  </si>
  <si>
    <t>Se cumplen con la publicación de información y existen medios de comunicación con los ciudadnos, falta generan espacios mas efectivos de comunicación , como realizar audiencias publicas de rendición de cuentas</t>
  </si>
  <si>
    <t>Existe un control para la entrega oportuna de informes</t>
  </si>
  <si>
    <t>no se encuentran tipificados riesgos de corrupción</t>
  </si>
  <si>
    <t>Los riesgos  de seguridad de la información estan identificados y  dispuestos en la herramienta KAWAK, tambien se cuenta con el Documento de contexto de la seguridad 2022</t>
  </si>
  <si>
    <t>Los riesgos  de Gestión estan identificados y  dispuestos en la herramienta KAWAK</t>
  </si>
  <si>
    <t xml:space="preserve"> se cuenta con el Documento de contexto de la seguridad de la información 2022</t>
  </si>
  <si>
    <t>se incluyó en el Plan Anual de Auditoría un seguimiento a la formulación de riesgos</t>
  </si>
  <si>
    <t>se formulo y evaluó el PAAC 2021, se esta construyento el PAAC 2022</t>
  </si>
  <si>
    <t>Existe la herramienta KAWAK , pero no contiene riesgos de corrupción</t>
  </si>
  <si>
    <t xml:space="preserve">Se han realizado 2 auditorias y seguimientos </t>
  </si>
  <si>
    <t>La información de rendición de cuentas se comunica por el SIRECI, la información contractual por SECOP II, y en general con todas las entidades mediante comunicaciones oficilaes.</t>
  </si>
  <si>
    <t>Estan especificados en el procedimiento PG-R_3 Clasificación y etiquetado de la información actividades 6 , 7 y 12</t>
  </si>
  <si>
    <t>Esta contenidad en los activos de información</t>
  </si>
  <si>
    <t>Sevenet (correspondencia) Kawak (documentación de Calidad)</t>
  </si>
  <si>
    <t>El presente mecanismo de autoevaluación .</t>
  </si>
  <si>
    <t xml:space="preserve">se han revisado los planes de mejoramiento externos </t>
  </si>
  <si>
    <t>no aplica para la Entidad</t>
  </si>
  <si>
    <t>Consejo Profesional Nacional deArquitectura y sus profesiones Auxiliares</t>
  </si>
  <si>
    <t>1er semestre de 2022</t>
  </si>
  <si>
    <t>Se han realizado 2 jornadas de sensiibilización con todos los funcionarios del Consejo sobre la 1era y 2da línea de defensa, esta enproceso la institucionalización de modelo de líneas de defensa</t>
  </si>
  <si>
    <t>La entidad cuenta con diseño organización adecuado que actualizó en diciembre de 2021 con la creación de las  oficinas administrativo y financiera y la OCI, recientemente actualizó su manual de funciones y esta en el proceso de actualización de los procesos, tiene procesos de inducción , reinducción , capacitación y bienestar que funcionan adecuadamente, como temas pendientes no posee estandares de conducto formaclizados como un código de ética de los funcionarios y aunque tiene mecanismos de rendición de cuentas y participación ciudadana no ha relizada jornadas de audiencia pública</t>
  </si>
  <si>
    <t>Los riesgos identificados contienen el diseño de controles , pero esta pendiente la actualización y la inclusión de riesgos de corrupción.</t>
  </si>
  <si>
    <t>El Consejo utiliza una herramienta sistematizada para registrar y gestionar sus riesgos pero no esta interiorizada en los funcionarios por ende no esta actualizada y no  se gestionan los riesgos , tampoco tiene tipificados riesgos de corrupción .</t>
  </si>
  <si>
    <t>Durante el primer trimestre se elaboró el Plan Anual de Auditoría y se empezó a ejecutar con  la auditoría de caja menor, lo que permitio realizar la reforma al procedimiento  que contiene controles efectivos.</t>
  </si>
  <si>
    <t>El CPNAA creó en el mes de diciembre de 2021  la Oficina de Control Interno y en el mes de mayo de 2022 se nombró el  jefe de esta Oficina , esto ha permitido que se cuente con un proceso de evaluación  indenpendiente , se realicen actividades de fomento a la cultura del control y se pueda realizar esta primera revisión del Sistema de Control Interno.</t>
  </si>
  <si>
    <t xml:space="preserve">Se tiene identificado acciones para mitigar los riesgos,pero no estan actualizados ni se coontrolan tampoco tiene identificados en sus procedimientos puntos de contol </t>
  </si>
  <si>
    <t>se pueden identificar de  las demandas regulares de los entes de control ,  a través de las TRD , inventarios de acdtivos de información y del Sistema de correspondencia SEVENET</t>
  </si>
  <si>
    <t>Profesional en Sistemas y ténologa en Archivistica</t>
  </si>
  <si>
    <t xml:space="preserve"> Se cuenta con la información y la comunicación requerida para la gestión  y control tiene unos flujos claros que cuentan con responsables de la información, canales de comunicación con los ciudadanos  y sistemas de información adecuados .</t>
  </si>
  <si>
    <t>Se cuenta con el proceso de evaluación independiente y se ejecuta el Plan Anual de Auditoría, se estan diseñando intrumentos para la medición del desempeño de los trabajadores, se tiene el instrumento para gestionar los indicadores pero no se les realiza seguimiento</t>
  </si>
  <si>
    <t>Se gestiona y registran en el modulo Acciones de Mejora de KAWAK, pero no se realiza el seguimiento</t>
  </si>
  <si>
    <t>Página web, CPNAAPP , redes sociales, faltan mecanismos mas eficientes de comunicación de doble vía con los ciudadanos como las audiencias públicas participativas</t>
  </si>
  <si>
    <t>La entidad  esta diseñando mecanismos para la evaluación del desempeño , aunque se tienen identifidos riesgos, indicadores y acciones de mejora, estos no estan actualizados , ni se les realiza un seguimiento sistematico. La OCI ha empezado y una revisión de estos intrumentos de monitoreo.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</si>
</sst>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8"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18"/>
      <name val="Arial"/>
      <family val="2"/>
    </font>
  </fonts>
  <fills count="1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3" fillId="0" borderId="0"/>
  </cellStyleXfs>
  <cellXfs count="316">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7" fillId="4" borderId="0" xfId="0" applyFont="1" applyFill="1" applyAlignment="1">
      <alignment horizontal="center"/>
    </xf>
    <xf numFmtId="0" fontId="0" fillId="4" borderId="21" xfId="0" applyFill="1" applyBorder="1"/>
    <xf numFmtId="164" fontId="7" fillId="4" borderId="0" xfId="0" applyNumberFormat="1" applyFont="1" applyFill="1" applyAlignment="1">
      <alignment horizontal="center"/>
    </xf>
    <xf numFmtId="0" fontId="8" fillId="4" borderId="0" xfId="0" applyFont="1" applyFill="1" applyAlignment="1">
      <alignment vertical="center"/>
    </xf>
    <xf numFmtId="0" fontId="10" fillId="4" borderId="0" xfId="0" applyFont="1" applyFill="1" applyAlignment="1">
      <alignment horizontal="center" vertical="center"/>
    </xf>
    <xf numFmtId="0" fontId="11" fillId="4" borderId="0" xfId="0" applyFont="1" applyFill="1"/>
    <xf numFmtId="0" fontId="9" fillId="4" borderId="0" xfId="0" applyFont="1" applyFill="1" applyAlignment="1">
      <alignment horizontal="center" vertical="center"/>
    </xf>
    <xf numFmtId="0" fontId="2" fillId="4" borderId="30" xfId="0" applyFont="1" applyFill="1" applyBorder="1" applyAlignment="1">
      <alignment horizontal="center" vertical="center"/>
    </xf>
    <xf numFmtId="0" fontId="2" fillId="4" borderId="0" xfId="0" applyFont="1" applyFill="1" applyAlignment="1">
      <alignment horizontal="center" vertical="center"/>
    </xf>
    <xf numFmtId="0" fontId="12" fillId="4" borderId="0" xfId="0" applyFont="1" applyFill="1" applyAlignment="1">
      <alignment wrapText="1"/>
    </xf>
    <xf numFmtId="0" fontId="13" fillId="4" borderId="0" xfId="0" applyFont="1" applyFill="1" applyAlignment="1">
      <alignment wrapText="1"/>
    </xf>
    <xf numFmtId="0" fontId="5" fillId="0" borderId="0" xfId="0" applyFont="1" applyAlignment="1">
      <alignment vertical="center"/>
    </xf>
    <xf numFmtId="9" fontId="2" fillId="0" borderId="0" xfId="0" applyNumberFormat="1" applyFont="1" applyAlignment="1">
      <alignment vertical="center"/>
    </xf>
    <xf numFmtId="0" fontId="2" fillId="4" borderId="21" xfId="0" applyFont="1" applyFill="1" applyBorder="1" applyAlignment="1">
      <alignment vertical="center"/>
    </xf>
    <xf numFmtId="0" fontId="2" fillId="4" borderId="0" xfId="0" applyFont="1" applyFill="1" applyAlignment="1">
      <alignment vertical="center"/>
    </xf>
    <xf numFmtId="0" fontId="0" fillId="0" borderId="3" xfId="0" applyBorder="1"/>
    <xf numFmtId="0" fontId="5" fillId="4" borderId="0" xfId="0" applyFont="1" applyFill="1" applyAlignment="1">
      <alignment vertical="center"/>
    </xf>
    <xf numFmtId="0" fontId="2" fillId="4" borderId="0" xfId="0" applyFont="1" applyFill="1" applyAlignment="1">
      <alignment horizontal="left" vertical="center"/>
    </xf>
    <xf numFmtId="0" fontId="15" fillId="4" borderId="0" xfId="0" applyFont="1" applyFill="1" applyAlignment="1">
      <alignment vertical="center"/>
    </xf>
    <xf numFmtId="0" fontId="16" fillId="4" borderId="0" xfId="0" applyFont="1" applyFill="1"/>
    <xf numFmtId="0" fontId="0" fillId="4" borderId="34" xfId="0" applyFill="1" applyBorder="1"/>
    <xf numFmtId="0" fontId="0" fillId="4" borderId="35" xfId="0" applyFill="1" applyBorder="1"/>
    <xf numFmtId="0" fontId="0" fillId="4" borderId="36" xfId="0" applyFill="1" applyBorder="1"/>
    <xf numFmtId="0" fontId="20" fillId="0" borderId="0" xfId="0" applyFont="1" applyAlignment="1">
      <alignment horizontal="center" wrapText="1"/>
    </xf>
    <xf numFmtId="0" fontId="5" fillId="4" borderId="0" xfId="0" applyFont="1" applyFill="1" applyAlignment="1">
      <alignment horizontal="center" vertical="center" wrapText="1"/>
    </xf>
    <xf numFmtId="0" fontId="4" fillId="4" borderId="0" xfId="0" applyFont="1" applyFill="1"/>
    <xf numFmtId="0" fontId="5" fillId="4" borderId="0" xfId="0" applyFont="1" applyFill="1" applyAlignment="1">
      <alignment horizontal="left" vertical="center"/>
    </xf>
    <xf numFmtId="9" fontId="5" fillId="4" borderId="0" xfId="0" applyNumberFormat="1" applyFont="1" applyFill="1" applyAlignment="1">
      <alignment horizontal="center" vertical="center"/>
    </xf>
    <xf numFmtId="0" fontId="4" fillId="4" borderId="0" xfId="0" applyFont="1" applyFill="1" applyAlignment="1">
      <alignment horizontal="left"/>
    </xf>
    <xf numFmtId="0" fontId="22" fillId="0" borderId="0" xfId="2" applyFont="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26" fillId="0" borderId="0" xfId="3" applyFont="1"/>
    <xf numFmtId="0" fontId="7" fillId="4" borderId="0" xfId="0" applyFont="1" applyFill="1"/>
    <xf numFmtId="0" fontId="7" fillId="0" borderId="0" xfId="0" applyFont="1"/>
    <xf numFmtId="0" fontId="36" fillId="0" borderId="0" xfId="0" applyFont="1" applyAlignment="1">
      <alignment vertical="top"/>
    </xf>
    <xf numFmtId="49" fontId="36"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26" fillId="4" borderId="0" xfId="3" applyFont="1" applyFill="1"/>
    <xf numFmtId="0" fontId="26" fillId="4" borderId="59" xfId="3" applyFont="1" applyFill="1" applyBorder="1" applyAlignment="1">
      <alignment vertical="top" wrapText="1"/>
    </xf>
    <xf numFmtId="0" fontId="26" fillId="4" borderId="0" xfId="3" applyFont="1" applyFill="1" applyAlignment="1">
      <alignment vertical="top" wrapText="1"/>
    </xf>
    <xf numFmtId="0" fontId="26" fillId="4" borderId="60" xfId="3" applyFont="1" applyFill="1" applyBorder="1" applyAlignment="1">
      <alignment vertical="top" wrapText="1"/>
    </xf>
    <xf numFmtId="0" fontId="26" fillId="4" borderId="59" xfId="3" applyFont="1" applyFill="1" applyBorder="1" applyAlignment="1">
      <alignment horizontal="left" vertical="top"/>
    </xf>
    <xf numFmtId="0" fontId="26" fillId="4" borderId="60" xfId="3" applyFont="1" applyFill="1" applyBorder="1" applyAlignment="1">
      <alignment horizontal="left" vertical="top"/>
    </xf>
    <xf numFmtId="0" fontId="26" fillId="4" borderId="59" xfId="3" applyFont="1" applyFill="1" applyBorder="1"/>
    <xf numFmtId="0" fontId="34" fillId="4" borderId="0" xfId="4" applyFont="1" applyFill="1" applyAlignment="1">
      <alignment horizontal="left" vertical="top" wrapText="1" readingOrder="1"/>
    </xf>
    <xf numFmtId="0" fontId="26" fillId="4" borderId="60" xfId="3" applyFont="1" applyFill="1" applyBorder="1"/>
    <xf numFmtId="0" fontId="26" fillId="4" borderId="72" xfId="3" applyFont="1" applyFill="1" applyBorder="1"/>
    <xf numFmtId="0" fontId="26" fillId="4" borderId="73" xfId="3" applyFont="1" applyFill="1" applyBorder="1"/>
    <xf numFmtId="0" fontId="26" fillId="4" borderId="74" xfId="3" applyFont="1" applyFill="1" applyBorder="1"/>
    <xf numFmtId="0" fontId="34" fillId="4" borderId="0" xfId="0" applyFont="1" applyFill="1" applyAlignment="1">
      <alignment horizontal="left" vertical="center" wrapText="1"/>
    </xf>
    <xf numFmtId="0" fontId="35" fillId="4" borderId="0" xfId="0" applyFont="1" applyFill="1" applyAlignment="1">
      <alignment horizontal="left" vertical="top" wrapText="1"/>
    </xf>
    <xf numFmtId="0" fontId="26" fillId="4" borderId="0" xfId="3" quotePrefix="1" applyFont="1" applyFill="1" applyAlignment="1">
      <alignment horizontal="left" vertical="center" wrapText="1"/>
    </xf>
    <xf numFmtId="0" fontId="32" fillId="4" borderId="0" xfId="3" applyFont="1" applyFill="1" applyAlignment="1">
      <alignment horizontal="left" vertical="center" wrapText="1"/>
    </xf>
    <xf numFmtId="0" fontId="26" fillId="4" borderId="0" xfId="3" applyFont="1" applyFill="1" applyAlignment="1">
      <alignment horizontal="left" vertical="center" wrapText="1"/>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0" borderId="0" xfId="0" applyFont="1" applyAlignment="1">
      <alignment vertical="top"/>
    </xf>
    <xf numFmtId="0" fontId="8" fillId="0" borderId="0" xfId="0" applyFont="1"/>
    <xf numFmtId="0" fontId="44" fillId="9" borderId="11" xfId="0" applyFont="1" applyFill="1" applyBorder="1" applyAlignment="1">
      <alignment horizontal="center" vertical="top" wrapText="1"/>
    </xf>
    <xf numFmtId="49" fontId="45" fillId="5" borderId="7" xfId="0" applyNumberFormat="1"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46" fillId="0" borderId="2" xfId="0" applyFont="1" applyBorder="1" applyAlignment="1">
      <alignment horizontal="center" vertical="center" wrapText="1"/>
    </xf>
    <xf numFmtId="0" fontId="46" fillId="0" borderId="2"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center" vertical="center" wrapText="1"/>
    </xf>
    <xf numFmtId="0" fontId="46" fillId="0" borderId="4" xfId="0" applyFont="1" applyBorder="1" applyAlignment="1">
      <alignment horizontal="left" vertical="center" wrapText="1"/>
    </xf>
    <xf numFmtId="0" fontId="9" fillId="13" borderId="3" xfId="0" applyFont="1" applyFill="1" applyBorder="1" applyAlignment="1">
      <alignment horizontal="center" vertical="center" wrapText="1"/>
    </xf>
    <xf numFmtId="0" fontId="50" fillId="0" borderId="0" xfId="0" applyFont="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51" fillId="2" borderId="3" xfId="0" applyFont="1" applyFill="1" applyBorder="1" applyAlignment="1">
      <alignment horizontal="center" vertical="center"/>
    </xf>
    <xf numFmtId="0" fontId="42" fillId="0" borderId="3" xfId="0" applyFont="1" applyBorder="1" applyAlignment="1">
      <alignment horizontal="center" vertical="center"/>
    </xf>
    <xf numFmtId="0" fontId="53" fillId="0" borderId="0" xfId="0" applyFont="1" applyAlignment="1">
      <alignment horizontal="center"/>
    </xf>
    <xf numFmtId="0" fontId="52" fillId="12" borderId="31" xfId="0" applyFont="1" applyFill="1" applyBorder="1" applyAlignment="1">
      <alignment horizontal="center" vertical="center" wrapText="1"/>
    </xf>
    <xf numFmtId="0" fontId="42" fillId="0" borderId="0" xfId="0" applyFont="1" applyAlignment="1">
      <alignment horizontal="center" vertical="center" wrapText="1"/>
    </xf>
    <xf numFmtId="0" fontId="25" fillId="4" borderId="0" xfId="2" applyFont="1" applyFill="1" applyAlignment="1">
      <alignment vertical="center" wrapText="1"/>
    </xf>
    <xf numFmtId="0" fontId="35" fillId="4" borderId="0" xfId="2" applyFont="1" applyFill="1" applyAlignment="1">
      <alignment vertical="center" wrapText="1"/>
    </xf>
    <xf numFmtId="0" fontId="36" fillId="0" borderId="0" xfId="0" applyFont="1" applyAlignment="1" applyProtection="1">
      <alignment horizontal="center" vertical="top"/>
      <protection hidden="1"/>
    </xf>
    <xf numFmtId="0" fontId="38" fillId="0" borderId="79" xfId="0" applyFont="1" applyBorder="1" applyAlignment="1" applyProtection="1">
      <alignment horizontal="center" vertical="center" wrapText="1"/>
      <protection hidden="1"/>
    </xf>
    <xf numFmtId="0" fontId="8" fillId="0" borderId="0" xfId="0" applyFont="1" applyAlignment="1" applyProtection="1">
      <alignment horizontal="center" vertical="top"/>
      <protection hidden="1"/>
    </xf>
    <xf numFmtId="0" fontId="39" fillId="0" borderId="9" xfId="0" applyFont="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8" fillId="0" borderId="9" xfId="0" applyFont="1" applyBorder="1" applyAlignment="1" applyProtection="1">
      <alignment horizontal="center" vertical="center" wrapText="1"/>
      <protection hidden="1"/>
    </xf>
    <xf numFmtId="0" fontId="38" fillId="0" borderId="80" xfId="0" applyFont="1" applyBorder="1" applyAlignment="1" applyProtection="1">
      <alignment horizontal="center" vertical="center" wrapText="1"/>
      <protection hidden="1"/>
    </xf>
    <xf numFmtId="0" fontId="8" fillId="0" borderId="0" xfId="0" applyFont="1" applyAlignment="1" applyProtection="1">
      <alignment vertical="top"/>
      <protection hidden="1"/>
    </xf>
    <xf numFmtId="0" fontId="43" fillId="0" borderId="2" xfId="0" applyFont="1" applyBorder="1" applyAlignment="1" applyProtection="1">
      <alignment horizontal="center" vertical="center" wrapText="1"/>
      <protection locked="0"/>
    </xf>
    <xf numFmtId="0" fontId="36" fillId="0" borderId="79" xfId="0" applyFont="1" applyBorder="1" applyAlignment="1" applyProtection="1">
      <alignment horizontal="left" vertical="center" wrapText="1"/>
      <protection locked="0"/>
    </xf>
    <xf numFmtId="0" fontId="43" fillId="0" borderId="3" xfId="0" applyFont="1" applyBorder="1" applyAlignment="1" applyProtection="1">
      <alignment horizontal="center" vertical="center" wrapText="1"/>
      <protection locked="0"/>
    </xf>
    <xf numFmtId="0" fontId="7" fillId="0" borderId="9" xfId="0" applyFont="1" applyBorder="1" applyAlignment="1" applyProtection="1">
      <alignment horizontal="left" vertical="center" wrapText="1"/>
      <protection locked="0"/>
    </xf>
    <xf numFmtId="0" fontId="36" fillId="0" borderId="9" xfId="0" applyFont="1" applyBorder="1" applyAlignment="1" applyProtection="1">
      <alignment horizontal="left" vertical="center" wrapText="1"/>
      <protection locked="0"/>
    </xf>
    <xf numFmtId="0" fontId="43" fillId="0" borderId="4" xfId="0" applyFont="1" applyBorder="1" applyAlignment="1" applyProtection="1">
      <alignment horizontal="center" vertical="center" wrapText="1"/>
      <protection locked="0"/>
    </xf>
    <xf numFmtId="0" fontId="36" fillId="0" borderId="80" xfId="0" applyFont="1" applyBorder="1" applyAlignment="1" applyProtection="1">
      <alignment horizontal="left" vertical="center" wrapText="1"/>
      <protection locked="0"/>
    </xf>
    <xf numFmtId="0" fontId="19" fillId="2" borderId="82" xfId="2" applyFont="1" applyFill="1" applyBorder="1" applyAlignment="1">
      <alignment horizontal="center" vertical="center"/>
    </xf>
    <xf numFmtId="0" fontId="19" fillId="2" borderId="82" xfId="2" applyFont="1" applyFill="1" applyBorder="1" applyAlignment="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0" fillId="0" borderId="84" xfId="0" applyFont="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0" fillId="0" borderId="85" xfId="0" applyFont="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0" fillId="0" borderId="86" xfId="0" applyFont="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0" fillId="0" borderId="5" xfId="0" applyFont="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0" fillId="0" borderId="6" xfId="0" applyFont="1" applyBorder="1" applyAlignment="1" applyProtection="1">
      <alignment vertical="center" wrapText="1"/>
      <protection hidden="1"/>
    </xf>
    <xf numFmtId="0" fontId="40" fillId="0" borderId="3" xfId="0" applyFont="1" applyBorder="1" applyAlignment="1" applyProtection="1">
      <alignment vertical="center" wrapText="1"/>
      <protection hidden="1"/>
    </xf>
    <xf numFmtId="0" fontId="40" fillId="0" borderId="7" xfId="0" applyFont="1" applyBorder="1" applyAlignment="1" applyProtection="1">
      <alignment vertical="center" wrapText="1"/>
      <protection hidden="1"/>
    </xf>
    <xf numFmtId="0" fontId="48"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2" fillId="2" borderId="26" xfId="0" applyNumberFormat="1" applyFont="1" applyFill="1" applyBorder="1" applyAlignment="1" applyProtection="1">
      <alignment horizontal="center" vertical="center"/>
      <protection hidden="1"/>
    </xf>
    <xf numFmtId="0" fontId="42" fillId="0" borderId="3" xfId="0" applyFont="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55" fillId="4" borderId="2" xfId="0" applyNumberFormat="1" applyFont="1" applyFill="1" applyBorder="1" applyAlignment="1" applyProtection="1">
      <alignment horizontal="center" vertical="center" wrapText="1"/>
      <protection locked="0"/>
    </xf>
    <xf numFmtId="49" fontId="55" fillId="4" borderId="3" xfId="0" applyNumberFormat="1" applyFont="1" applyFill="1" applyBorder="1" applyAlignment="1" applyProtection="1">
      <alignment horizontal="center" vertical="center" wrapText="1"/>
      <protection locked="0"/>
    </xf>
    <xf numFmtId="49" fontId="55"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44" fillId="9" borderId="14"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0" fontId="46" fillId="6" borderId="2" xfId="0" applyFont="1" applyFill="1" applyBorder="1" applyAlignment="1">
      <alignment horizontal="left" vertical="center" wrapText="1"/>
    </xf>
    <xf numFmtId="0" fontId="26" fillId="4" borderId="59" xfId="3" applyFont="1" applyFill="1" applyBorder="1" applyAlignment="1">
      <alignment horizontal="left" vertical="top" wrapText="1"/>
    </xf>
    <xf numFmtId="0" fontId="26" fillId="4" borderId="0" xfId="3" applyFont="1" applyFill="1" applyAlignment="1">
      <alignment horizontal="left" vertical="top" wrapText="1"/>
    </xf>
    <xf numFmtId="0" fontId="26" fillId="4" borderId="60" xfId="3" applyFont="1" applyFill="1" applyBorder="1" applyAlignment="1">
      <alignment horizontal="left" vertical="top" wrapText="1"/>
    </xf>
    <xf numFmtId="0" fontId="26" fillId="4" borderId="0" xfId="3" applyFont="1" applyFill="1"/>
    <xf numFmtId="0" fontId="34" fillId="4" borderId="77" xfId="0" applyFont="1" applyFill="1" applyBorder="1" applyAlignment="1">
      <alignment horizontal="left" vertical="center" wrapText="1"/>
    </xf>
    <xf numFmtId="0" fontId="34" fillId="4" borderId="78" xfId="0" applyFont="1" applyFill="1" applyBorder="1" applyAlignment="1">
      <alignment horizontal="left" vertical="center" wrapText="1"/>
    </xf>
    <xf numFmtId="0" fontId="35" fillId="0" borderId="69" xfId="3" applyFont="1" applyBorder="1" applyAlignment="1">
      <alignment horizontal="left" vertical="center" wrapText="1"/>
    </xf>
    <xf numFmtId="0" fontId="35" fillId="0" borderId="70" xfId="3" applyFont="1" applyBorder="1" applyAlignment="1">
      <alignment horizontal="left" vertical="center" wrapText="1"/>
    </xf>
    <xf numFmtId="0" fontId="17" fillId="2" borderId="44" xfId="2" applyFont="1" applyFill="1" applyBorder="1" applyAlignment="1">
      <alignment horizontal="center" vertical="center" wrapText="1"/>
    </xf>
    <xf numFmtId="0" fontId="17" fillId="2" borderId="45" xfId="2" applyFont="1" applyFill="1" applyBorder="1" applyAlignment="1">
      <alignment horizontal="center" vertical="center" wrapText="1"/>
    </xf>
    <xf numFmtId="0" fontId="25" fillId="7" borderId="50" xfId="2" applyFont="1" applyFill="1" applyBorder="1" applyAlignment="1">
      <alignment horizontal="center" vertical="center"/>
    </xf>
    <xf numFmtId="0" fontId="25" fillId="7" borderId="51" xfId="2" applyFont="1" applyFill="1" applyBorder="1" applyAlignment="1">
      <alignment horizontal="center" vertical="center"/>
    </xf>
    <xf numFmtId="0" fontId="26" fillId="0" borderId="56" xfId="2" applyFont="1" applyBorder="1" applyAlignment="1">
      <alignment horizontal="justify" vertical="center" wrapText="1"/>
    </xf>
    <xf numFmtId="0" fontId="26" fillId="0" borderId="57" xfId="2" applyFont="1" applyBorder="1" applyAlignment="1">
      <alignment horizontal="justify" vertical="center" wrapText="1"/>
    </xf>
    <xf numFmtId="0" fontId="25" fillId="8" borderId="52" xfId="2" applyFont="1" applyFill="1" applyBorder="1" applyAlignment="1">
      <alignment horizontal="center" vertical="center" wrapText="1"/>
    </xf>
    <xf numFmtId="0" fontId="25" fillId="8" borderId="53" xfId="2" applyFont="1" applyFill="1" applyBorder="1" applyAlignment="1">
      <alignment horizontal="center" vertical="center"/>
    </xf>
    <xf numFmtId="0" fontId="26" fillId="0" borderId="53" xfId="2" applyFont="1" applyBorder="1" applyAlignment="1">
      <alignment horizontal="justify" vertical="center" wrapText="1"/>
    </xf>
    <xf numFmtId="0" fontId="26" fillId="0" borderId="54" xfId="2" applyFont="1" applyBorder="1" applyAlignment="1">
      <alignment horizontal="justify" vertical="center" wrapText="1"/>
    </xf>
    <xf numFmtId="0" fontId="37" fillId="4" borderId="71" xfId="2" applyFont="1" applyFill="1" applyBorder="1" applyAlignment="1">
      <alignment horizontal="center" vertical="center" wrapText="1"/>
    </xf>
    <xf numFmtId="0" fontId="24" fillId="4" borderId="71" xfId="2" applyFont="1" applyFill="1" applyBorder="1" applyAlignment="1">
      <alignment horizontal="center" vertical="center" wrapText="1"/>
    </xf>
    <xf numFmtId="0" fontId="17" fillId="2" borderId="46" xfId="2" applyFont="1" applyFill="1" applyBorder="1" applyAlignment="1">
      <alignment horizontal="center" vertical="center" wrapText="1"/>
    </xf>
    <xf numFmtId="0" fontId="25" fillId="14" borderId="47" xfId="2" applyFont="1" applyFill="1" applyBorder="1" applyAlignment="1">
      <alignment horizontal="center" vertical="center"/>
    </xf>
    <xf numFmtId="0" fontId="25" fillId="14" borderId="48" xfId="2" applyFont="1" applyFill="1" applyBorder="1" applyAlignment="1">
      <alignment horizontal="center" vertical="center"/>
    </xf>
    <xf numFmtId="0" fontId="26" fillId="0" borderId="48" xfId="2" applyFont="1" applyBorder="1" applyAlignment="1">
      <alignment horizontal="justify" vertical="center" wrapText="1"/>
    </xf>
    <xf numFmtId="0" fontId="26" fillId="0" borderId="49" xfId="2" applyFont="1" applyBorder="1" applyAlignment="1">
      <alignment horizontal="justify" vertical="center" wrapText="1"/>
    </xf>
    <xf numFmtId="0" fontId="34" fillId="4" borderId="75" xfId="4" applyFont="1" applyFill="1" applyBorder="1" applyAlignment="1">
      <alignment horizontal="left" vertical="center" wrapText="1" readingOrder="1"/>
    </xf>
    <xf numFmtId="0" fontId="34" fillId="4" borderId="76" xfId="4" applyFont="1" applyFill="1" applyBorder="1" applyAlignment="1">
      <alignment horizontal="left" vertical="center" wrapText="1" readingOrder="1"/>
    </xf>
    <xf numFmtId="0" fontId="35" fillId="0" borderId="65" xfId="3" applyFont="1" applyBorder="1" applyAlignment="1">
      <alignment horizontal="left" vertical="center" wrapText="1"/>
    </xf>
    <xf numFmtId="0" fontId="35" fillId="0" borderId="66" xfId="3" applyFont="1" applyBorder="1" applyAlignment="1">
      <alignment horizontal="left" vertical="center" wrapText="1"/>
    </xf>
    <xf numFmtId="0" fontId="34" fillId="4" borderId="67" xfId="0" applyFont="1" applyFill="1" applyBorder="1" applyAlignment="1">
      <alignment horizontal="left" vertical="center" wrapText="1"/>
    </xf>
    <xf numFmtId="0" fontId="34" fillId="4" borderId="68" xfId="0" applyFont="1" applyFill="1" applyBorder="1" applyAlignment="1">
      <alignment horizontal="left" vertical="center" wrapText="1"/>
    </xf>
    <xf numFmtId="0" fontId="35" fillId="0" borderId="69" xfId="3" applyFont="1" applyBorder="1" applyAlignment="1">
      <alignment horizontal="left" vertical="top" wrapText="1"/>
    </xf>
    <xf numFmtId="0" fontId="35" fillId="0" borderId="70" xfId="3" applyFont="1" applyBorder="1" applyAlignment="1">
      <alignment horizontal="left" vertical="top" wrapText="1"/>
    </xf>
    <xf numFmtId="0" fontId="30" fillId="0" borderId="58" xfId="3" applyFont="1" applyBorder="1" applyAlignment="1">
      <alignment horizontal="center" vertical="center" wrapText="1"/>
    </xf>
    <xf numFmtId="0" fontId="30" fillId="0" borderId="55" xfId="3" applyFont="1" applyBorder="1" applyAlignment="1">
      <alignment horizontal="center" vertical="center" wrapText="1"/>
    </xf>
    <xf numFmtId="0" fontId="30" fillId="0" borderId="8" xfId="3" applyFont="1" applyBorder="1" applyAlignment="1">
      <alignment horizontal="center" vertical="center" wrapText="1"/>
    </xf>
    <xf numFmtId="0" fontId="26" fillId="0" borderId="59" xfId="3" quotePrefix="1" applyFont="1" applyBorder="1" applyAlignment="1">
      <alignment horizontal="left" vertical="center" wrapText="1"/>
    </xf>
    <xf numFmtId="0" fontId="26" fillId="0" borderId="0" xfId="3" quotePrefix="1" applyFont="1" applyAlignment="1">
      <alignment horizontal="left" vertical="center" wrapText="1"/>
    </xf>
    <xf numFmtId="0" fontId="26" fillId="0" borderId="60" xfId="3" quotePrefix="1" applyFont="1" applyBorder="1" applyAlignment="1">
      <alignment horizontal="left" vertical="center" wrapText="1"/>
    </xf>
    <xf numFmtId="0" fontId="31" fillId="4" borderId="59" xfId="3" quotePrefix="1" applyFont="1" applyFill="1" applyBorder="1" applyAlignment="1">
      <alignment horizontal="left" vertical="top" wrapText="1"/>
    </xf>
    <xf numFmtId="0" fontId="25" fillId="4" borderId="0" xfId="3" quotePrefix="1" applyFont="1" applyFill="1" applyAlignment="1">
      <alignment horizontal="left" vertical="top" wrapText="1"/>
    </xf>
    <xf numFmtId="0" fontId="25" fillId="4" borderId="60" xfId="3" quotePrefix="1" applyFont="1" applyFill="1" applyBorder="1" applyAlignment="1">
      <alignment horizontal="left" vertical="top" wrapText="1"/>
    </xf>
    <xf numFmtId="0" fontId="26" fillId="4" borderId="59" xfId="3" quotePrefix="1" applyFont="1" applyFill="1" applyBorder="1" applyAlignment="1">
      <alignment horizontal="left" vertical="top" wrapText="1"/>
    </xf>
    <xf numFmtId="0" fontId="26" fillId="4" borderId="0" xfId="3" quotePrefix="1" applyFont="1" applyFill="1" applyAlignment="1">
      <alignment horizontal="left" vertical="top" wrapText="1"/>
    </xf>
    <xf numFmtId="0" fontId="26" fillId="4" borderId="60" xfId="3" quotePrefix="1" applyFont="1" applyFill="1" applyBorder="1" applyAlignment="1">
      <alignment horizontal="left" vertical="top" wrapText="1"/>
    </xf>
    <xf numFmtId="0" fontId="34" fillId="16" borderId="61" xfId="4" applyFont="1" applyFill="1" applyBorder="1" applyAlignment="1">
      <alignment horizontal="center" vertical="center" wrapText="1"/>
    </xf>
    <xf numFmtId="0" fontId="34" fillId="16" borderId="62" xfId="4" applyFont="1" applyFill="1" applyBorder="1" applyAlignment="1">
      <alignment horizontal="center" vertical="center" wrapText="1"/>
    </xf>
    <xf numFmtId="0" fontId="34" fillId="16" borderId="63" xfId="3" applyFont="1" applyFill="1" applyBorder="1" applyAlignment="1">
      <alignment horizontal="center" vertical="center"/>
    </xf>
    <xf numFmtId="0" fontId="34" fillId="16" borderId="64" xfId="3" applyFont="1" applyFill="1" applyBorder="1" applyAlignment="1">
      <alignment horizontal="center" vertical="center"/>
    </xf>
    <xf numFmtId="49" fontId="45" fillId="5" borderId="0" xfId="0" applyNumberFormat="1" applyFont="1" applyFill="1" applyAlignment="1">
      <alignment horizontal="center" vertical="center"/>
    </xf>
    <xf numFmtId="0" fontId="44" fillId="11" borderId="11" xfId="0" applyFont="1" applyFill="1" applyBorder="1" applyAlignment="1">
      <alignment horizontal="center" vertical="center" wrapText="1"/>
    </xf>
    <xf numFmtId="0" fontId="44" fillId="11" borderId="12" xfId="0" applyFont="1" applyFill="1" applyBorder="1" applyAlignment="1">
      <alignment horizontal="center" vertical="center" wrapText="1"/>
    </xf>
    <xf numFmtId="0" fontId="44" fillId="11" borderId="13" xfId="0" applyFont="1" applyFill="1" applyBorder="1" applyAlignment="1">
      <alignment horizontal="center" vertical="center" wrapText="1"/>
    </xf>
    <xf numFmtId="49" fontId="44" fillId="11" borderId="14" xfId="0" applyNumberFormat="1" applyFont="1" applyFill="1" applyBorder="1" applyAlignment="1">
      <alignment horizontal="center" vertical="center" wrapText="1"/>
    </xf>
    <xf numFmtId="49" fontId="44" fillId="11" borderId="15" xfId="0" applyNumberFormat="1" applyFont="1" applyFill="1" applyBorder="1" applyAlignment="1">
      <alignment horizontal="center" vertical="center" wrapText="1"/>
    </xf>
    <xf numFmtId="49" fontId="44" fillId="11" borderId="16" xfId="0" applyNumberFormat="1" applyFont="1" applyFill="1" applyBorder="1" applyAlignment="1">
      <alignment horizontal="center" vertical="center" wrapText="1"/>
    </xf>
    <xf numFmtId="0" fontId="44" fillId="9" borderId="11" xfId="0" applyFont="1" applyFill="1" applyBorder="1" applyAlignment="1">
      <alignment horizontal="center" vertical="center" wrapText="1"/>
    </xf>
    <xf numFmtId="0" fontId="44" fillId="9" borderId="12" xfId="0" applyFont="1" applyFill="1" applyBorder="1" applyAlignment="1">
      <alignment horizontal="center" vertical="center" wrapText="1"/>
    </xf>
    <xf numFmtId="0" fontId="44" fillId="9" borderId="13" xfId="0" applyFont="1" applyFill="1" applyBorder="1" applyAlignment="1">
      <alignment horizontal="center" vertical="center" wrapText="1"/>
    </xf>
    <xf numFmtId="49" fontId="44" fillId="9" borderId="14" xfId="0" applyNumberFormat="1" applyFont="1" applyFill="1" applyBorder="1" applyAlignment="1">
      <alignment horizontal="center" vertical="center" wrapText="1"/>
    </xf>
    <xf numFmtId="49" fontId="44" fillId="9" borderId="15" xfId="0" applyNumberFormat="1" applyFont="1" applyFill="1" applyBorder="1" applyAlignment="1">
      <alignment horizontal="center" vertical="center" wrapText="1"/>
    </xf>
    <xf numFmtId="49" fontId="44" fillId="9" borderId="16" xfId="0" applyNumberFormat="1"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44" fillId="6" borderId="13" xfId="0"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6"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12" xfId="0" applyFont="1" applyFill="1" applyBorder="1" applyAlignment="1">
      <alignment horizontal="center" vertical="center" wrapText="1"/>
    </xf>
    <xf numFmtId="0" fontId="44" fillId="10" borderId="13" xfId="0" applyFont="1" applyFill="1" applyBorder="1" applyAlignment="1">
      <alignment horizontal="center" vertical="center" wrapText="1"/>
    </xf>
    <xf numFmtId="0" fontId="44" fillId="9" borderId="6" xfId="0" applyFont="1" applyFill="1" applyBorder="1" applyAlignment="1">
      <alignment horizontal="center" vertical="center" wrapText="1"/>
    </xf>
    <xf numFmtId="49" fontId="44" fillId="6" borderId="11" xfId="0" applyNumberFormat="1" applyFont="1" applyFill="1" applyBorder="1" applyAlignment="1">
      <alignment horizontal="center" vertical="center" wrapText="1"/>
    </xf>
    <xf numFmtId="49" fontId="44" fillId="6" borderId="12" xfId="0" applyNumberFormat="1" applyFont="1" applyFill="1" applyBorder="1" applyAlignment="1">
      <alignment horizontal="center" vertical="center" wrapText="1"/>
    </xf>
    <xf numFmtId="49" fontId="44" fillId="6" borderId="13" xfId="0" applyNumberFormat="1" applyFont="1" applyFill="1" applyBorder="1" applyAlignment="1">
      <alignment horizontal="center" vertical="center" wrapText="1"/>
    </xf>
    <xf numFmtId="49" fontId="44" fillId="10" borderId="11" xfId="0" applyNumberFormat="1" applyFont="1" applyFill="1" applyBorder="1" applyAlignment="1">
      <alignment horizontal="center" vertical="center" wrapText="1"/>
    </xf>
    <xf numFmtId="49" fontId="44" fillId="10" borderId="12" xfId="0" applyNumberFormat="1" applyFont="1" applyFill="1" applyBorder="1" applyAlignment="1">
      <alignment horizontal="center" vertical="center" wrapText="1"/>
    </xf>
    <xf numFmtId="49" fontId="44" fillId="10" borderId="13" xfId="0" applyNumberFormat="1" applyFont="1" applyFill="1" applyBorder="1" applyAlignment="1">
      <alignment horizontal="center" vertical="center" wrapText="1"/>
    </xf>
    <xf numFmtId="49" fontId="44" fillId="2" borderId="11"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49" fontId="44" fillId="2" borderId="13" xfId="0" applyNumberFormat="1" applyFont="1" applyFill="1" applyBorder="1" applyAlignment="1">
      <alignment horizontal="center" vertical="center" wrapText="1"/>
    </xf>
    <xf numFmtId="49" fontId="44" fillId="11" borderId="11" xfId="0" applyNumberFormat="1" applyFont="1" applyFill="1" applyBorder="1" applyAlignment="1">
      <alignment horizontal="center" vertical="center" wrapText="1"/>
    </xf>
    <xf numFmtId="49" fontId="44" fillId="11" borderId="12" xfId="0" applyNumberFormat="1" applyFont="1" applyFill="1" applyBorder="1" applyAlignment="1">
      <alignment horizontal="center" vertical="center" wrapText="1"/>
    </xf>
    <xf numFmtId="49" fontId="44" fillId="11" borderId="13"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44" fillId="9" borderId="12" xfId="0" applyNumberFormat="1" applyFont="1" applyFill="1" applyBorder="1" applyAlignment="1">
      <alignment horizontal="center" vertical="center" wrapText="1"/>
    </xf>
    <xf numFmtId="49" fontId="44" fillId="9" borderId="13" xfId="0" applyNumberFormat="1" applyFont="1" applyFill="1" applyBorder="1" applyAlignment="1">
      <alignment horizontal="center" vertical="center" wrapText="1"/>
    </xf>
    <xf numFmtId="49" fontId="44" fillId="10" borderId="3" xfId="0" applyNumberFormat="1" applyFont="1" applyFill="1" applyBorder="1" applyAlignment="1">
      <alignment horizontal="center" vertical="center" wrapText="1"/>
    </xf>
    <xf numFmtId="0" fontId="44" fillId="10" borderId="3" xfId="0" applyFont="1" applyFill="1" applyBorder="1" applyAlignment="1">
      <alignment horizontal="center" vertical="center" wrapText="1"/>
    </xf>
    <xf numFmtId="49" fontId="44" fillId="10" borderId="15" xfId="0" applyNumberFormat="1" applyFont="1" applyFill="1" applyBorder="1" applyAlignment="1">
      <alignment horizontal="center" vertical="center" wrapText="1"/>
    </xf>
    <xf numFmtId="49" fontId="44" fillId="2" borderId="14" xfId="0" applyNumberFormat="1" applyFont="1" applyFill="1" applyBorder="1" applyAlignment="1">
      <alignment horizontal="center" vertical="center" wrapText="1"/>
    </xf>
    <xf numFmtId="49" fontId="44" fillId="2" borderId="15"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3" xfId="0" applyFont="1" applyFill="1" applyBorder="1" applyAlignment="1">
      <alignment horizontal="center" vertical="center" wrapText="1"/>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applyAlignment="1">
      <alignment horizontal="center" vertical="center"/>
    </xf>
    <xf numFmtId="0" fontId="19" fillId="3" borderId="32" xfId="2" applyFont="1" applyFill="1" applyBorder="1" applyAlignment="1">
      <alignment horizontal="center" vertical="center" wrapText="1"/>
    </xf>
    <xf numFmtId="0" fontId="19" fillId="3" borderId="33" xfId="2" applyFont="1" applyFill="1" applyBorder="1" applyAlignment="1">
      <alignment horizontal="center" vertical="center"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23" fillId="6" borderId="16" xfId="0" applyFont="1" applyFill="1" applyBorder="1" applyAlignment="1">
      <alignment horizontal="center" vertical="center" textRotation="90" wrapText="1"/>
    </xf>
    <xf numFmtId="0" fontId="19" fillId="2" borderId="37" xfId="2" applyFont="1" applyFill="1" applyBorder="1" applyAlignment="1">
      <alignment horizontal="center" vertical="center" wrapText="1"/>
    </xf>
    <xf numFmtId="0" fontId="19" fillId="2" borderId="83" xfId="2" applyFont="1" applyFill="1" applyBorder="1" applyAlignment="1">
      <alignment horizontal="center" vertical="center" wrapText="1"/>
    </xf>
    <xf numFmtId="0" fontId="19" fillId="2" borderId="38" xfId="2" applyFont="1" applyFill="1" applyBorder="1" applyAlignment="1">
      <alignment horizontal="center" vertical="center" wrapText="1"/>
    </xf>
    <xf numFmtId="0" fontId="19" fillId="2" borderId="39" xfId="2" applyFont="1" applyFill="1" applyBorder="1" applyAlignment="1">
      <alignment horizontal="center" vertical="center" wrapText="1"/>
    </xf>
    <xf numFmtId="0" fontId="19" fillId="2" borderId="40" xfId="2" applyFont="1" applyFill="1" applyBorder="1" applyAlignment="1">
      <alignment horizontal="center" vertical="center" wrapText="1"/>
    </xf>
    <xf numFmtId="0" fontId="19" fillId="2" borderId="42" xfId="2" applyFont="1" applyFill="1" applyBorder="1" applyAlignment="1">
      <alignment horizontal="center" vertical="center" wrapText="1"/>
    </xf>
    <xf numFmtId="0" fontId="19" fillId="2" borderId="41" xfId="2" applyFont="1" applyFill="1" applyBorder="1" applyAlignment="1">
      <alignment horizontal="center" vertical="center" wrapText="1"/>
    </xf>
    <xf numFmtId="0" fontId="19" fillId="2" borderId="43" xfId="2" applyFont="1" applyFill="1" applyBorder="1" applyAlignment="1">
      <alignment horizontal="center" vertical="center" wrapText="1"/>
    </xf>
    <xf numFmtId="9" fontId="41" fillId="0" borderId="87" xfId="0" applyNumberFormat="1" applyFont="1" applyBorder="1" applyAlignment="1" applyProtection="1">
      <alignment horizontal="center" vertical="center"/>
      <protection hidden="1"/>
    </xf>
    <xf numFmtId="9" fontId="41" fillId="0" borderId="88" xfId="0" applyNumberFormat="1" applyFont="1" applyBorder="1" applyAlignment="1" applyProtection="1">
      <alignment horizontal="center" vertical="center"/>
      <protection hidden="1"/>
    </xf>
    <xf numFmtId="9" fontId="28" fillId="7" borderId="84" xfId="1" applyFont="1" applyFill="1" applyBorder="1" applyAlignment="1" applyProtection="1">
      <alignment horizontal="center" vertical="center"/>
      <protection hidden="1"/>
    </xf>
    <xf numFmtId="9" fontId="28" fillId="7" borderId="85" xfId="1" applyFont="1" applyFill="1" applyBorder="1" applyAlignment="1" applyProtection="1">
      <alignment horizontal="center" vertical="center"/>
      <protection hidden="1"/>
    </xf>
    <xf numFmtId="9" fontId="28" fillId="7" borderId="86" xfId="1" applyFont="1" applyFill="1" applyBorder="1" applyAlignment="1" applyProtection="1">
      <alignment horizontal="center" vertical="center"/>
      <protection hidden="1"/>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0" fontId="27" fillId="9" borderId="16" xfId="0" applyFont="1" applyFill="1" applyBorder="1" applyAlignment="1">
      <alignment horizontal="center" vertical="center" textRotation="90"/>
    </xf>
    <xf numFmtId="9" fontId="41" fillId="4" borderId="87" xfId="0" applyNumberFormat="1" applyFont="1" applyFill="1" applyBorder="1" applyAlignment="1" applyProtection="1">
      <alignment horizontal="center" vertical="center"/>
      <protection hidden="1"/>
    </xf>
    <xf numFmtId="9" fontId="41" fillId="4" borderId="88" xfId="0" applyNumberFormat="1" applyFont="1" applyFill="1" applyBorder="1" applyAlignment="1" applyProtection="1">
      <alignment horizontal="center" vertical="center"/>
      <protection hidden="1"/>
    </xf>
    <xf numFmtId="9" fontId="41" fillId="4" borderId="89" xfId="0" applyNumberFormat="1" applyFont="1" applyFill="1" applyBorder="1" applyAlignment="1" applyProtection="1">
      <alignment horizontal="center" vertical="center"/>
      <protection hidden="1"/>
    </xf>
    <xf numFmtId="0" fontId="27" fillId="11" borderId="15"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0" fontId="27" fillId="2" borderId="16" xfId="0" applyFont="1" applyFill="1" applyBorder="1" applyAlignment="1">
      <alignment horizontal="center" vertical="center" textRotation="90"/>
    </xf>
    <xf numFmtId="9" fontId="41" fillId="0" borderId="89" xfId="0" applyNumberFormat="1" applyFont="1" applyBorder="1" applyAlignment="1" applyProtection="1">
      <alignment horizontal="center" vertical="center"/>
      <protection hidden="1"/>
    </xf>
    <xf numFmtId="0" fontId="27" fillId="10" borderId="14" xfId="0" applyFont="1" applyFill="1" applyBorder="1" applyAlignment="1">
      <alignment horizontal="center" vertical="center" textRotation="90"/>
    </xf>
    <xf numFmtId="0" fontId="27" fillId="10" borderId="15" xfId="0" applyFont="1" applyFill="1" applyBorder="1" applyAlignment="1">
      <alignment horizontal="center" vertical="center" textRotation="90"/>
    </xf>
    <xf numFmtId="0" fontId="57" fillId="0" borderId="24" xfId="0" applyFont="1" applyBorder="1" applyAlignment="1" applyProtection="1">
      <alignment horizontal="center" vertical="center" wrapText="1"/>
      <protection locked="0"/>
    </xf>
    <xf numFmtId="0" fontId="57" fillId="0" borderId="1" xfId="0" applyFont="1" applyBorder="1" applyAlignment="1" applyProtection="1">
      <alignment horizontal="center" vertical="center" wrapText="1"/>
      <protection locked="0"/>
    </xf>
    <xf numFmtId="0" fontId="57" fillId="0" borderId="25" xfId="0" applyFont="1" applyBorder="1" applyAlignment="1" applyProtection="1">
      <alignment horizontal="center" vertical="center" wrapText="1"/>
      <protection locked="0"/>
    </xf>
    <xf numFmtId="0" fontId="52" fillId="12" borderId="0" xfId="0" applyFont="1" applyFill="1" applyAlignment="1">
      <alignment horizontal="center" vertical="center" wrapText="1"/>
    </xf>
    <xf numFmtId="0" fontId="0" fillId="0" borderId="73" xfId="0" applyBorder="1" applyAlignment="1">
      <alignment horizontal="center"/>
    </xf>
    <xf numFmtId="0" fontId="0" fillId="0" borderId="1" xfId="0" applyBorder="1" applyAlignment="1">
      <alignment horizontal="center"/>
    </xf>
    <xf numFmtId="49" fontId="49" fillId="4" borderId="91" xfId="0" applyNumberFormat="1" applyFont="1" applyFill="1" applyBorder="1" applyAlignment="1">
      <alignment horizontal="left" vertical="center" wrapText="1"/>
    </xf>
    <xf numFmtId="49" fontId="49" fillId="4" borderId="3" xfId="0" applyNumberFormat="1" applyFont="1" applyFill="1" applyBorder="1" applyAlignment="1">
      <alignment horizontal="left" vertical="center" wrapText="1"/>
    </xf>
    <xf numFmtId="49" fontId="49" fillId="4" borderId="92" xfId="0" applyNumberFormat="1" applyFont="1" applyFill="1" applyBorder="1" applyAlignment="1">
      <alignment horizontal="left" vertical="center" wrapText="1"/>
    </xf>
    <xf numFmtId="49" fontId="49" fillId="4" borderId="4" xfId="0" applyNumberFormat="1" applyFont="1" applyFill="1" applyBorder="1" applyAlignment="1">
      <alignment horizontal="left" vertical="center" wrapText="1"/>
    </xf>
    <xf numFmtId="0" fontId="51" fillId="2" borderId="7"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6" fillId="4" borderId="3" xfId="0" applyFont="1" applyFill="1" applyBorder="1" applyAlignment="1" applyProtection="1">
      <alignment horizontal="center" vertical="center"/>
      <protection locked="0"/>
    </xf>
    <xf numFmtId="164" fontId="56" fillId="4" borderId="22" xfId="0" applyNumberFormat="1" applyFont="1" applyFill="1" applyBorder="1" applyAlignment="1" applyProtection="1">
      <alignment horizontal="center" vertical="center"/>
      <protection locked="0"/>
    </xf>
    <xf numFmtId="164" fontId="56" fillId="4" borderId="23" xfId="0" applyNumberFormat="1" applyFont="1" applyFill="1" applyBorder="1" applyAlignment="1" applyProtection="1">
      <alignment horizontal="center" vertical="center"/>
      <protection locked="0"/>
    </xf>
    <xf numFmtId="164" fontId="56" fillId="4" borderId="9" xfId="0" applyNumberFormat="1" applyFont="1" applyFill="1" applyBorder="1" applyAlignment="1" applyProtection="1">
      <alignment horizontal="center" vertical="center"/>
      <protection locked="0"/>
    </xf>
    <xf numFmtId="0" fontId="52" fillId="2" borderId="2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49" fontId="49" fillId="4" borderId="90" xfId="0" applyNumberFormat="1" applyFont="1" applyFill="1" applyBorder="1" applyAlignment="1">
      <alignment horizontal="left" vertical="center" wrapText="1"/>
    </xf>
    <xf numFmtId="49" fontId="49" fillId="4" borderId="2" xfId="0" applyNumberFormat="1" applyFont="1" applyFill="1" applyBorder="1" applyAlignment="1">
      <alignment horizontal="left" vertical="center" wrapText="1"/>
    </xf>
    <xf numFmtId="49" fontId="53" fillId="4" borderId="2" xfId="0" applyNumberFormat="1" applyFont="1" applyFill="1" applyBorder="1" applyAlignment="1" applyProtection="1">
      <alignment horizontal="center" vertical="top" wrapText="1"/>
      <protection locked="0"/>
    </xf>
    <xf numFmtId="49" fontId="53" fillId="4" borderId="84" xfId="0" applyNumberFormat="1" applyFont="1" applyFill="1" applyBorder="1" applyAlignment="1" applyProtection="1">
      <alignment horizontal="center" vertical="top" wrapText="1"/>
      <protection locked="0"/>
    </xf>
    <xf numFmtId="49" fontId="53" fillId="4" borderId="3" xfId="0" applyNumberFormat="1" applyFont="1" applyFill="1" applyBorder="1" applyAlignment="1" applyProtection="1">
      <alignment horizontal="center" vertical="top" wrapText="1"/>
      <protection locked="0"/>
    </xf>
    <xf numFmtId="49" fontId="53" fillId="4" borderId="85" xfId="0" applyNumberFormat="1" applyFont="1" applyFill="1" applyBorder="1" applyAlignment="1" applyProtection="1">
      <alignment horizontal="center" vertical="top" wrapText="1"/>
      <protection locked="0"/>
    </xf>
    <xf numFmtId="49" fontId="53" fillId="4" borderId="4" xfId="0" applyNumberFormat="1" applyFont="1" applyFill="1" applyBorder="1" applyAlignment="1" applyProtection="1">
      <alignment horizontal="center" vertical="top" wrapText="1"/>
      <protection locked="0"/>
    </xf>
    <xf numFmtId="49" fontId="53" fillId="4" borderId="86" xfId="0" applyNumberFormat="1" applyFont="1" applyFill="1" applyBorder="1" applyAlignment="1" applyProtection="1">
      <alignment horizontal="center" vertical="top" wrapText="1"/>
      <protection locked="0"/>
    </xf>
  </cellXfs>
  <cellStyles count="5">
    <cellStyle name="Normal" xfId="0" builtinId="0"/>
    <cellStyle name="Normal - Style1 2" xfId="3" xr:uid="{00000000-0005-0000-0000-000001000000}"/>
    <cellStyle name="Normal 2" xfId="2" xr:uid="{00000000-0005-0000-0000-000002000000}"/>
    <cellStyle name="Normal 2 2" xfId="4" xr:uid="{00000000-0005-0000-0000-000003000000}"/>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 val="Hoja4"/>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
  <sheetViews>
    <sheetView topLeftCell="A16" zoomScale="90" zoomScaleNormal="90" workbookViewId="0">
      <selection activeCell="B3" sqref="B3:H4"/>
    </sheetView>
  </sheetViews>
  <sheetFormatPr baseColWidth="10" defaultColWidth="0" defaultRowHeight="13.8" zeroHeight="1" x14ac:dyDescent="0.3"/>
  <cols>
    <col min="1" max="1" width="3.88671875" style="42" customWidth="1"/>
    <col min="2" max="2" width="15.33203125" style="42" customWidth="1"/>
    <col min="3" max="3" width="17.33203125" style="42" customWidth="1"/>
    <col min="4" max="4" width="28.5546875" style="42" customWidth="1"/>
    <col min="5" max="5" width="12.88671875" style="42" customWidth="1"/>
    <col min="6" max="6" width="47.109375" style="42" customWidth="1"/>
    <col min="7" max="7" width="21.44140625" style="42" customWidth="1"/>
    <col min="8" max="8" width="6.5546875" style="42" customWidth="1"/>
    <col min="9" max="9" width="2.5546875" style="42" customWidth="1"/>
    <col min="10" max="16384" width="11.44140625" style="42" hidden="1"/>
  </cols>
  <sheetData>
    <row r="1" spans="2:8" ht="14.4" thickBot="1" x14ac:dyDescent="0.35"/>
    <row r="2" spans="2:8" ht="73.5" customHeight="1" x14ac:dyDescent="0.3">
      <c r="B2" s="186" t="s">
        <v>0</v>
      </c>
      <c r="C2" s="187"/>
      <c r="D2" s="187"/>
      <c r="E2" s="187"/>
      <c r="F2" s="187"/>
      <c r="G2" s="187"/>
      <c r="H2" s="188"/>
    </row>
    <row r="3" spans="2:8" ht="65.25" customHeight="1" x14ac:dyDescent="0.3">
      <c r="B3" s="189" t="s">
        <v>1</v>
      </c>
      <c r="C3" s="190"/>
      <c r="D3" s="190"/>
      <c r="E3" s="190"/>
      <c r="F3" s="190"/>
      <c r="G3" s="190"/>
      <c r="H3" s="191"/>
    </row>
    <row r="4" spans="2:8" ht="82.5" customHeight="1" x14ac:dyDescent="0.3">
      <c r="B4" s="189"/>
      <c r="C4" s="190"/>
      <c r="D4" s="190"/>
      <c r="E4" s="190"/>
      <c r="F4" s="190"/>
      <c r="G4" s="190"/>
      <c r="H4" s="191"/>
    </row>
    <row r="5" spans="2:8" ht="21.75" customHeight="1" x14ac:dyDescent="0.3">
      <c r="B5" s="192" t="s">
        <v>2</v>
      </c>
      <c r="C5" s="193"/>
      <c r="D5" s="193"/>
      <c r="E5" s="193"/>
      <c r="F5" s="193"/>
      <c r="G5" s="193"/>
      <c r="H5" s="194"/>
    </row>
    <row r="6" spans="2:8" ht="42" customHeight="1" x14ac:dyDescent="0.3">
      <c r="B6" s="195" t="s">
        <v>3</v>
      </c>
      <c r="C6" s="196"/>
      <c r="D6" s="196"/>
      <c r="E6" s="196"/>
      <c r="F6" s="196"/>
      <c r="G6" s="196"/>
      <c r="H6" s="197"/>
    </row>
    <row r="7" spans="2:8" ht="14.25" customHeight="1" x14ac:dyDescent="0.3">
      <c r="B7" s="195"/>
      <c r="C7" s="196"/>
      <c r="D7" s="196"/>
      <c r="E7" s="196"/>
      <c r="F7" s="196"/>
      <c r="G7" s="196"/>
      <c r="H7" s="197"/>
    </row>
    <row r="8" spans="2:8" ht="12.75" customHeight="1" thickBot="1" x14ac:dyDescent="0.35">
      <c r="B8" s="54"/>
      <c r="C8" s="48"/>
      <c r="D8" s="63"/>
      <c r="E8" s="64"/>
      <c r="F8" s="64"/>
      <c r="G8" s="62"/>
      <c r="H8" s="56"/>
    </row>
    <row r="9" spans="2:8" ht="21" customHeight="1" thickTop="1" x14ac:dyDescent="0.3">
      <c r="B9" s="54"/>
      <c r="C9" s="198" t="s">
        <v>4</v>
      </c>
      <c r="D9" s="199"/>
      <c r="E9" s="200" t="s">
        <v>5</v>
      </c>
      <c r="F9" s="201"/>
      <c r="G9" s="48"/>
      <c r="H9" s="56"/>
    </row>
    <row r="10" spans="2:8" ht="37.5" customHeight="1" x14ac:dyDescent="0.3">
      <c r="B10" s="54"/>
      <c r="C10" s="178" t="s">
        <v>6</v>
      </c>
      <c r="D10" s="179"/>
      <c r="E10" s="180" t="s">
        <v>7</v>
      </c>
      <c r="F10" s="181"/>
      <c r="G10" s="48"/>
      <c r="H10" s="56"/>
    </row>
    <row r="11" spans="2:8" ht="39.75" customHeight="1" x14ac:dyDescent="0.3">
      <c r="B11" s="54"/>
      <c r="C11" s="182" t="s">
        <v>8</v>
      </c>
      <c r="D11" s="183"/>
      <c r="E11" s="159" t="s">
        <v>9</v>
      </c>
      <c r="F11" s="160"/>
      <c r="G11" s="48"/>
      <c r="H11" s="56"/>
    </row>
    <row r="12" spans="2:8" ht="59.25" customHeight="1" x14ac:dyDescent="0.3">
      <c r="B12" s="54"/>
      <c r="C12" s="182" t="s">
        <v>10</v>
      </c>
      <c r="D12" s="183"/>
      <c r="E12" s="184" t="s">
        <v>11</v>
      </c>
      <c r="F12" s="185"/>
      <c r="G12" s="48"/>
      <c r="H12" s="56"/>
    </row>
    <row r="13" spans="2:8" ht="33.75" customHeight="1" x14ac:dyDescent="0.3">
      <c r="B13" s="54"/>
      <c r="C13" s="157" t="s">
        <v>12</v>
      </c>
      <c r="D13" s="158"/>
      <c r="E13" s="159" t="s">
        <v>13</v>
      </c>
      <c r="F13" s="160"/>
      <c r="G13" s="48"/>
      <c r="H13" s="56"/>
    </row>
    <row r="14" spans="2:8" ht="19.5" customHeight="1" x14ac:dyDescent="0.3">
      <c r="B14" s="54"/>
      <c r="C14" s="60"/>
      <c r="D14" s="60"/>
      <c r="E14" s="61"/>
      <c r="F14" s="61"/>
      <c r="G14" s="48"/>
      <c r="H14" s="56"/>
    </row>
    <row r="15" spans="2:8" ht="37.5" customHeight="1" thickBot="1" x14ac:dyDescent="0.35">
      <c r="B15" s="153" t="s">
        <v>14</v>
      </c>
      <c r="C15" s="154"/>
      <c r="D15" s="154"/>
      <c r="E15" s="154"/>
      <c r="F15" s="154"/>
      <c r="G15" s="154"/>
      <c r="H15" s="155"/>
    </row>
    <row r="16" spans="2:8" ht="27.75" customHeight="1" thickBot="1" x14ac:dyDescent="0.35">
      <c r="B16" s="54"/>
      <c r="C16" s="161" t="s">
        <v>15</v>
      </c>
      <c r="D16" s="162"/>
      <c r="E16" s="162" t="s">
        <v>16</v>
      </c>
      <c r="F16" s="173"/>
      <c r="G16" s="48"/>
      <c r="H16" s="56"/>
    </row>
    <row r="17" spans="2:8" ht="27.75" customHeight="1" x14ac:dyDescent="0.3">
      <c r="B17" s="54"/>
      <c r="C17" s="174" t="s">
        <v>17</v>
      </c>
      <c r="D17" s="175"/>
      <c r="E17" s="176" t="s">
        <v>18</v>
      </c>
      <c r="F17" s="177"/>
      <c r="G17" s="93"/>
      <c r="H17" s="56"/>
    </row>
    <row r="18" spans="2:8" ht="41.25" customHeight="1" x14ac:dyDescent="0.3">
      <c r="B18" s="54"/>
      <c r="C18" s="163" t="s">
        <v>19</v>
      </c>
      <c r="D18" s="164"/>
      <c r="E18" s="165" t="s">
        <v>20</v>
      </c>
      <c r="F18" s="166"/>
      <c r="G18" s="94"/>
      <c r="H18" s="56"/>
    </row>
    <row r="19" spans="2:8" ht="37.5" customHeight="1" thickBot="1" x14ac:dyDescent="0.35">
      <c r="B19" s="54"/>
      <c r="C19" s="167" t="s">
        <v>21</v>
      </c>
      <c r="D19" s="168"/>
      <c r="E19" s="169" t="s">
        <v>22</v>
      </c>
      <c r="F19" s="170"/>
      <c r="G19" s="94"/>
      <c r="H19" s="56"/>
    </row>
    <row r="20" spans="2:8" ht="11.25" customHeight="1" x14ac:dyDescent="0.3">
      <c r="B20" s="49"/>
      <c r="C20" s="50"/>
      <c r="D20" s="50"/>
      <c r="E20" s="50"/>
      <c r="F20" s="50"/>
      <c r="G20" s="50"/>
      <c r="H20" s="51"/>
    </row>
    <row r="21" spans="2:8" ht="14.25" customHeight="1" x14ac:dyDescent="0.3">
      <c r="B21" s="52"/>
      <c r="C21" s="171"/>
      <c r="D21" s="171"/>
      <c r="E21" s="172"/>
      <c r="F21" s="172"/>
      <c r="G21" s="172"/>
      <c r="H21" s="53"/>
    </row>
    <row r="22" spans="2:8" ht="36" customHeight="1" x14ac:dyDescent="0.3">
      <c r="B22" s="153" t="s">
        <v>23</v>
      </c>
      <c r="C22" s="154"/>
      <c r="D22" s="154"/>
      <c r="E22" s="154"/>
      <c r="F22" s="154"/>
      <c r="G22" s="154"/>
      <c r="H22" s="155"/>
    </row>
    <row r="23" spans="2:8" x14ac:dyDescent="0.3">
      <c r="B23" s="54"/>
      <c r="C23" s="55"/>
      <c r="D23" s="55"/>
      <c r="E23" s="156"/>
      <c r="F23" s="156"/>
      <c r="G23" s="48"/>
      <c r="H23" s="56"/>
    </row>
    <row r="24" spans="2:8" ht="14.4" thickBot="1" x14ac:dyDescent="0.35">
      <c r="B24" s="57"/>
      <c r="C24" s="58"/>
      <c r="D24" s="58"/>
      <c r="E24" s="58"/>
      <c r="F24" s="58"/>
      <c r="G24" s="58"/>
      <c r="H24" s="59"/>
    </row>
    <row r="25" spans="2:8" x14ac:dyDescent="0.3"/>
    <row r="26" spans="2:8" ht="29.25" customHeight="1" x14ac:dyDescent="0.3"/>
    <row r="27" spans="2:8" ht="26.25" customHeight="1" x14ac:dyDescent="0.3"/>
    <row r="28" spans="2:8" ht="43.5" customHeight="1" x14ac:dyDescent="0.3"/>
    <row r="29" spans="2:8" ht="53.25" customHeight="1" x14ac:dyDescent="0.3"/>
    <row r="30" spans="2:8" x14ac:dyDescent="0.3"/>
    <row r="31" spans="2:8" x14ac:dyDescent="0.3"/>
    <row r="32" spans="2:8" x14ac:dyDescent="0.3"/>
    <row r="33" x14ac:dyDescent="0.3"/>
    <row r="34" x14ac:dyDescent="0.3"/>
    <row r="35" x14ac:dyDescent="0.3"/>
    <row r="36" ht="12.75" customHeight="1" x14ac:dyDescent="0.3"/>
    <row r="37" ht="12.75" customHeight="1" x14ac:dyDescent="0.3"/>
    <row r="38" ht="12.75" customHeight="1" x14ac:dyDescent="0.3"/>
    <row r="39" ht="12.75" customHeight="1" x14ac:dyDescent="0.3"/>
    <row r="40" ht="12.75" customHeight="1" x14ac:dyDescent="0.3"/>
    <row r="41" ht="12.75" customHeight="1" x14ac:dyDescent="0.3"/>
    <row r="42" ht="12.75" customHeight="1" x14ac:dyDescent="0.3"/>
    <row r="43" ht="12.75" customHeight="1" x14ac:dyDescent="0.3"/>
    <row r="44" ht="12.75" customHeight="1" x14ac:dyDescent="0.3"/>
    <row r="45" ht="12.75" customHeight="1" x14ac:dyDescent="0.3"/>
    <row r="46" ht="12.75" customHeight="1" x14ac:dyDescent="0.3"/>
    <row r="47" ht="12.75" customHeight="1" x14ac:dyDescent="0.3"/>
    <row r="48" x14ac:dyDescent="0.3"/>
    <row r="52" x14ac:dyDescent="0.3"/>
    <row r="54" x14ac:dyDescent="0.3"/>
  </sheetData>
  <sheetProtection algorithmName="SHA-512" hashValue="t7sIeOvFa2bhukBsHVcHmO5gG9cifT20ZR8W/o5PL1FLs7w8K+KkEm6wLVbMVfYFM8W9luBRuNKu+qdhAWPM7w==" saltValue="H/shNuEdnFDauevCofk8Sw==" spinCount="100000" sheet="1" objects="1" scenarios="1"/>
  <mergeCells count="27">
    <mergeCell ref="B2:H2"/>
    <mergeCell ref="B3:H4"/>
    <mergeCell ref="B5:H5"/>
    <mergeCell ref="B6:H7"/>
    <mergeCell ref="C9:D9"/>
    <mergeCell ref="E9:F9"/>
    <mergeCell ref="C10:D10"/>
    <mergeCell ref="E10:F10"/>
    <mergeCell ref="C11:D11"/>
    <mergeCell ref="E11:F11"/>
    <mergeCell ref="C12:D12"/>
    <mergeCell ref="E12:F12"/>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9"/>
  <sheetViews>
    <sheetView showGridLines="0" topLeftCell="C23" zoomScaleNormal="100" workbookViewId="0">
      <selection activeCell="F16" sqref="F16:F27"/>
    </sheetView>
  </sheetViews>
  <sheetFormatPr baseColWidth="10" defaultColWidth="11.44140625" defaultRowHeight="13.8" x14ac:dyDescent="0.25"/>
  <cols>
    <col min="1" max="1" width="3" style="44" hidden="1" customWidth="1"/>
    <col min="2" max="2" width="9.44140625" style="44" customWidth="1"/>
    <col min="3" max="3" width="25.5546875" style="44" customWidth="1"/>
    <col min="4" max="4" width="46.5546875" style="44" customWidth="1"/>
    <col min="5" max="5" width="10.109375" style="66" customWidth="1"/>
    <col min="6" max="6" width="44.5546875" style="66" customWidth="1"/>
    <col min="7" max="7" width="15.44140625" style="44" customWidth="1"/>
    <col min="8" max="9" width="43" style="44" customWidth="1"/>
    <col min="10" max="12" width="11.44140625" style="69" customWidth="1"/>
    <col min="13" max="24" width="11.44140625" style="44" customWidth="1"/>
    <col min="25" max="16384" width="11.44140625" style="44"/>
  </cols>
  <sheetData>
    <row r="1" spans="1:32" x14ac:dyDescent="0.25">
      <c r="B1" s="43"/>
      <c r="C1" s="43"/>
      <c r="D1" s="43"/>
      <c r="E1" s="65"/>
      <c r="F1" s="65"/>
      <c r="G1" s="43"/>
      <c r="H1" s="43"/>
      <c r="I1" s="43"/>
      <c r="J1" s="67"/>
      <c r="K1" s="67"/>
      <c r="L1" s="67"/>
      <c r="M1" s="43"/>
      <c r="N1" s="43"/>
      <c r="O1" s="43"/>
      <c r="P1" s="43"/>
      <c r="Q1" s="43"/>
      <c r="R1" s="43"/>
      <c r="S1" s="43"/>
      <c r="T1" s="43"/>
      <c r="U1" s="43"/>
      <c r="V1" s="43"/>
      <c r="W1" s="43"/>
      <c r="X1" s="43"/>
    </row>
    <row r="2" spans="1:32" x14ac:dyDescent="0.25">
      <c r="B2" s="43"/>
      <c r="C2" s="43"/>
      <c r="D2" s="43"/>
      <c r="E2" s="65"/>
      <c r="F2" s="65"/>
      <c r="G2" s="43"/>
      <c r="H2" s="43"/>
      <c r="I2" s="43"/>
      <c r="J2" s="67"/>
      <c r="K2" s="67"/>
      <c r="L2" s="67"/>
      <c r="M2" s="43"/>
      <c r="N2" s="43"/>
      <c r="O2" s="43"/>
      <c r="P2" s="43"/>
      <c r="Q2" s="43"/>
      <c r="R2" s="43"/>
      <c r="S2" s="43"/>
      <c r="T2" s="43"/>
      <c r="U2" s="43"/>
      <c r="V2" s="43"/>
      <c r="W2" s="43"/>
      <c r="X2" s="43"/>
    </row>
    <row r="3" spans="1:32" x14ac:dyDescent="0.25">
      <c r="B3" s="43"/>
      <c r="C3" s="43"/>
      <c r="D3" s="43"/>
      <c r="E3" s="65"/>
      <c r="F3" s="65"/>
      <c r="G3" s="43"/>
      <c r="H3" s="43"/>
      <c r="I3" s="43"/>
      <c r="J3" s="67"/>
      <c r="K3" s="67"/>
      <c r="L3" s="67"/>
      <c r="M3" s="43"/>
      <c r="N3" s="43"/>
      <c r="O3" s="43"/>
      <c r="P3" s="43"/>
      <c r="Q3" s="43"/>
      <c r="R3" s="43"/>
      <c r="S3" s="43"/>
      <c r="T3" s="43"/>
      <c r="U3" s="43"/>
      <c r="V3" s="43"/>
      <c r="W3" s="43"/>
      <c r="X3" s="43"/>
    </row>
    <row r="4" spans="1:32" x14ac:dyDescent="0.25">
      <c r="B4" s="43"/>
      <c r="C4" s="43"/>
      <c r="D4" s="43"/>
      <c r="E4" s="65"/>
      <c r="F4" s="65"/>
      <c r="G4" s="43"/>
      <c r="H4" s="43"/>
      <c r="I4" s="43"/>
      <c r="J4" s="67"/>
      <c r="K4" s="67"/>
      <c r="L4" s="67"/>
      <c r="M4" s="43"/>
      <c r="N4" s="43"/>
      <c r="O4" s="43"/>
      <c r="P4" s="43"/>
      <c r="Q4" s="43"/>
      <c r="R4" s="43"/>
      <c r="S4" s="43"/>
      <c r="T4" s="43"/>
      <c r="U4" s="43"/>
      <c r="V4" s="43"/>
      <c r="W4" s="43"/>
      <c r="X4" s="43"/>
    </row>
    <row r="5" spans="1:32" x14ac:dyDescent="0.25">
      <c r="B5" s="43"/>
      <c r="C5" s="43"/>
      <c r="D5" s="43"/>
      <c r="E5" s="65"/>
      <c r="F5" s="65"/>
      <c r="G5" s="43"/>
      <c r="H5" s="43"/>
      <c r="I5" s="43"/>
      <c r="J5" s="67"/>
      <c r="K5" s="67"/>
      <c r="L5" s="67"/>
      <c r="M5" s="43"/>
      <c r="N5" s="43"/>
      <c r="O5" s="43"/>
      <c r="P5" s="43"/>
      <c r="Q5" s="43"/>
      <c r="R5" s="43"/>
      <c r="S5" s="43"/>
      <c r="T5" s="43"/>
      <c r="U5" s="43"/>
      <c r="V5" s="43"/>
      <c r="W5" s="43"/>
      <c r="X5" s="43"/>
    </row>
    <row r="6" spans="1:32" x14ac:dyDescent="0.25">
      <c r="B6" s="43"/>
      <c r="C6" s="43"/>
      <c r="D6" s="43"/>
      <c r="E6" s="65"/>
      <c r="F6" s="65"/>
      <c r="G6" s="43"/>
      <c r="H6" s="43"/>
      <c r="I6" s="43"/>
      <c r="J6" s="67"/>
      <c r="K6" s="67"/>
      <c r="L6" s="67"/>
      <c r="M6" s="43"/>
      <c r="N6" s="43"/>
      <c r="O6" s="43"/>
      <c r="P6" s="43"/>
      <c r="Q6" s="43"/>
      <c r="R6" s="43"/>
      <c r="S6" s="43"/>
      <c r="T6" s="43"/>
      <c r="U6" s="43"/>
      <c r="V6" s="43"/>
      <c r="W6" s="43"/>
      <c r="X6" s="43"/>
    </row>
    <row r="7" spans="1:32" x14ac:dyDescent="0.25">
      <c r="B7" s="43"/>
      <c r="C7" s="43"/>
      <c r="D7" s="43"/>
      <c r="E7" s="65"/>
      <c r="F7" s="65"/>
      <c r="G7" s="43"/>
      <c r="H7" s="43"/>
      <c r="I7" s="43"/>
      <c r="J7" s="67"/>
      <c r="K7" s="67"/>
      <c r="L7" s="67"/>
      <c r="M7" s="43"/>
      <c r="N7" s="43"/>
      <c r="O7" s="43"/>
      <c r="P7" s="43"/>
      <c r="Q7" s="43"/>
      <c r="R7" s="43"/>
      <c r="S7" s="43"/>
      <c r="T7" s="43"/>
      <c r="U7" s="43"/>
      <c r="V7" s="43"/>
      <c r="W7" s="43"/>
      <c r="X7" s="43"/>
    </row>
    <row r="8" spans="1:32" x14ac:dyDescent="0.25">
      <c r="B8" s="43"/>
      <c r="C8" s="43"/>
      <c r="D8" s="43"/>
      <c r="E8" s="65"/>
      <c r="F8" s="65"/>
      <c r="G8" s="43"/>
      <c r="H8" s="43"/>
      <c r="I8" s="43"/>
      <c r="J8" s="67"/>
      <c r="K8" s="67"/>
      <c r="L8" s="67"/>
      <c r="M8" s="43"/>
      <c r="N8" s="43"/>
      <c r="O8" s="43"/>
      <c r="P8" s="43"/>
      <c r="Q8" s="43"/>
      <c r="R8" s="43"/>
      <c r="S8" s="43"/>
      <c r="T8" s="43"/>
      <c r="U8" s="43"/>
      <c r="V8" s="43"/>
      <c r="W8" s="43"/>
      <c r="X8" s="43"/>
    </row>
    <row r="9" spans="1:32" x14ac:dyDescent="0.25">
      <c r="B9" s="43"/>
      <c r="C9" s="43"/>
      <c r="D9" s="43"/>
      <c r="E9" s="65"/>
      <c r="F9" s="65"/>
      <c r="G9" s="43"/>
      <c r="H9" s="43"/>
      <c r="I9" s="43"/>
      <c r="J9" s="67"/>
      <c r="K9" s="67"/>
      <c r="L9" s="67"/>
      <c r="M9" s="43"/>
      <c r="N9" s="43"/>
      <c r="O9" s="43"/>
      <c r="P9" s="43"/>
      <c r="Q9" s="43"/>
      <c r="R9" s="43"/>
      <c r="S9" s="43"/>
      <c r="T9" s="43"/>
      <c r="U9" s="43"/>
      <c r="V9" s="43"/>
      <c r="W9" s="43"/>
      <c r="X9" s="43"/>
    </row>
    <row r="10" spans="1:32" x14ac:dyDescent="0.25">
      <c r="B10" s="43"/>
      <c r="C10" s="43"/>
      <c r="D10" s="43"/>
      <c r="E10" s="65"/>
      <c r="F10" s="65"/>
      <c r="G10" s="43"/>
      <c r="H10" s="43"/>
      <c r="I10" s="43"/>
      <c r="J10" s="67"/>
      <c r="K10" s="67"/>
      <c r="L10" s="67"/>
      <c r="M10" s="43"/>
      <c r="N10" s="43"/>
      <c r="O10" s="43"/>
      <c r="P10" s="43"/>
      <c r="Q10" s="43"/>
      <c r="R10" s="43"/>
      <c r="S10" s="43"/>
      <c r="T10" s="43"/>
      <c r="U10" s="43"/>
      <c r="V10" s="43"/>
      <c r="W10" s="43"/>
      <c r="X10" s="43"/>
    </row>
    <row r="11" spans="1:32" x14ac:dyDescent="0.25">
      <c r="B11" s="43"/>
      <c r="C11" s="43"/>
      <c r="D11" s="43"/>
      <c r="E11" s="65"/>
      <c r="F11" s="65"/>
      <c r="G11" s="43"/>
      <c r="H11" s="43"/>
      <c r="I11" s="43"/>
      <c r="J11" s="67"/>
      <c r="K11" s="67"/>
      <c r="L11" s="67"/>
      <c r="M11" s="43"/>
      <c r="N11" s="43"/>
      <c r="O11" s="43"/>
      <c r="P11" s="43"/>
      <c r="Q11" s="43"/>
      <c r="R11" s="43"/>
      <c r="S11" s="43"/>
      <c r="T11" s="43"/>
      <c r="U11" s="43"/>
      <c r="V11" s="43"/>
      <c r="W11" s="43"/>
      <c r="X11" s="43"/>
    </row>
    <row r="12" spans="1:32" x14ac:dyDescent="0.25">
      <c r="B12" s="43"/>
      <c r="C12" s="43"/>
      <c r="D12" s="43"/>
      <c r="E12" s="65"/>
      <c r="F12" s="65"/>
      <c r="G12" s="43"/>
      <c r="H12" s="43"/>
      <c r="I12" s="43"/>
      <c r="J12" s="67"/>
      <c r="K12" s="67"/>
      <c r="L12" s="67"/>
      <c r="M12" s="43"/>
      <c r="N12" s="43"/>
      <c r="O12" s="43"/>
      <c r="P12" s="43"/>
      <c r="Q12" s="43"/>
      <c r="R12" s="43"/>
      <c r="S12" s="43"/>
      <c r="T12" s="43"/>
      <c r="U12" s="43"/>
      <c r="V12" s="43"/>
      <c r="W12" s="43"/>
      <c r="X12" s="43"/>
    </row>
    <row r="13" spans="1:32" x14ac:dyDescent="0.25">
      <c r="B13" s="43"/>
      <c r="C13" s="43"/>
      <c r="D13" s="43"/>
      <c r="E13" s="65"/>
      <c r="F13" s="65"/>
      <c r="G13" s="43"/>
      <c r="H13" s="43"/>
      <c r="I13" s="43"/>
      <c r="J13" s="67"/>
      <c r="K13" s="67"/>
      <c r="L13" s="67"/>
      <c r="M13" s="43"/>
      <c r="N13" s="43"/>
      <c r="O13" s="43"/>
      <c r="P13" s="43"/>
      <c r="Q13" s="43"/>
      <c r="R13" s="43"/>
      <c r="S13" s="43"/>
      <c r="T13" s="43"/>
      <c r="U13" s="43"/>
      <c r="V13" s="43"/>
      <c r="W13" s="43"/>
      <c r="X13" s="43"/>
    </row>
    <row r="14" spans="1:32" s="46" customFormat="1" ht="49.5" customHeight="1" x14ac:dyDescent="0.3">
      <c r="B14" s="202" t="s">
        <v>24</v>
      </c>
      <c r="C14" s="202"/>
      <c r="D14" s="202"/>
      <c r="E14" s="202"/>
      <c r="F14" s="202"/>
      <c r="G14" s="202"/>
      <c r="H14" s="202"/>
      <c r="I14" s="202"/>
      <c r="J14" s="68"/>
      <c r="K14" s="68"/>
      <c r="L14" s="68"/>
      <c r="M14" s="45"/>
      <c r="N14" s="45"/>
      <c r="O14" s="45"/>
      <c r="P14" s="45"/>
      <c r="Q14" s="45"/>
      <c r="R14" s="45"/>
      <c r="S14" s="45"/>
      <c r="T14" s="45"/>
      <c r="U14" s="45"/>
      <c r="V14" s="45"/>
      <c r="W14" s="45"/>
      <c r="X14" s="45"/>
      <c r="Y14" s="45"/>
      <c r="Z14" s="45"/>
      <c r="AA14" s="45"/>
      <c r="AB14" s="45"/>
      <c r="AC14" s="45"/>
      <c r="AD14" s="45"/>
      <c r="AE14" s="45"/>
      <c r="AF14" s="45"/>
    </row>
    <row r="15" spans="1:32" s="46" customFormat="1" ht="123.75" customHeight="1" thickBot="1" x14ac:dyDescent="0.35">
      <c r="B15" s="71" t="s">
        <v>25</v>
      </c>
      <c r="C15" s="71" t="s">
        <v>6</v>
      </c>
      <c r="D15" s="72" t="s">
        <v>8</v>
      </c>
      <c r="E15" s="73" t="s">
        <v>26</v>
      </c>
      <c r="F15" s="73" t="s">
        <v>27</v>
      </c>
      <c r="G15" s="73" t="s">
        <v>28</v>
      </c>
      <c r="H15" s="74" t="s">
        <v>29</v>
      </c>
      <c r="I15" s="73" t="s">
        <v>30</v>
      </c>
      <c r="J15" s="68"/>
      <c r="K15" s="68"/>
      <c r="L15" s="68"/>
      <c r="M15" s="45"/>
      <c r="N15" s="45"/>
      <c r="O15" s="45"/>
      <c r="P15" s="45"/>
      <c r="Q15" s="45"/>
      <c r="R15" s="45"/>
      <c r="S15" s="45"/>
      <c r="T15" s="45"/>
      <c r="U15" s="45"/>
      <c r="V15" s="45"/>
      <c r="W15" s="45"/>
      <c r="X15" s="45"/>
      <c r="Y15" s="45"/>
      <c r="Z15" s="45"/>
      <c r="AA15" s="45"/>
      <c r="AB15" s="45"/>
      <c r="AC15" s="45"/>
      <c r="AD15" s="45"/>
      <c r="AE15" s="45"/>
      <c r="AF15" s="45"/>
    </row>
    <row r="16" spans="1:32" s="46" customFormat="1" ht="71.25" customHeight="1" x14ac:dyDescent="0.3">
      <c r="A16" s="95" t="str">
        <f>1&amp;E16</f>
        <v>1a</v>
      </c>
      <c r="B16" s="218" t="s">
        <v>31</v>
      </c>
      <c r="C16" s="228" t="s">
        <v>32</v>
      </c>
      <c r="D16" s="215" t="s">
        <v>33</v>
      </c>
      <c r="E16" s="75" t="s">
        <v>34</v>
      </c>
      <c r="F16" s="152" t="s">
        <v>35</v>
      </c>
      <c r="G16" s="103" t="s">
        <v>39</v>
      </c>
      <c r="H16" s="104" t="s">
        <v>191</v>
      </c>
      <c r="I16" s="96" t="str">
        <f>+IF(G16="Si","Mantenimiento del control",IF(G16="En proceso","Oportunidad de mejora","Deficiencia de control"))</f>
        <v>Mantenimiento del control</v>
      </c>
      <c r="J16" s="97">
        <f t="shared" ref="J16:J27" si="0">+IF(G16="Si",20,IF(G16="En proceso",10,0))</f>
        <v>20</v>
      </c>
      <c r="K16" s="97">
        <v>0.123</v>
      </c>
      <c r="L16" s="97">
        <f>+J16+K16</f>
        <v>20.123000000000001</v>
      </c>
    </row>
    <row r="17" spans="1:32" s="46" customFormat="1" ht="62.4" x14ac:dyDescent="0.3">
      <c r="A17" s="95" t="str">
        <f t="shared" ref="A17:A27" si="1">1&amp;E17</f>
        <v>1b</v>
      </c>
      <c r="B17" s="219"/>
      <c r="C17" s="229"/>
      <c r="D17" s="216"/>
      <c r="E17" s="77" t="s">
        <v>37</v>
      </c>
      <c r="F17" s="78" t="s">
        <v>38</v>
      </c>
      <c r="G17" s="105" t="s">
        <v>36</v>
      </c>
      <c r="H17" s="106"/>
      <c r="I17" s="98" t="str">
        <f t="shared" ref="I17:I59" si="2">+IF(G17="Si","Mantenimiento del control",IF(G17="En proceso","Oportunidad de mejora","Deficiencia de control"))</f>
        <v>Deficiencia de control</v>
      </c>
      <c r="J17" s="99">
        <f t="shared" si="0"/>
        <v>0</v>
      </c>
      <c r="K17" s="97">
        <v>0.1234</v>
      </c>
      <c r="L17" s="97">
        <f t="shared" ref="L17:L59" si="3">+J17+K17</f>
        <v>0.1234</v>
      </c>
    </row>
    <row r="18" spans="1:32" s="46" customFormat="1" ht="64.5" customHeight="1" x14ac:dyDescent="0.3">
      <c r="A18" s="95" t="str">
        <f t="shared" si="1"/>
        <v>1c</v>
      </c>
      <c r="B18" s="219"/>
      <c r="C18" s="229"/>
      <c r="D18" s="216"/>
      <c r="E18" s="77" t="s">
        <v>40</v>
      </c>
      <c r="F18" s="79" t="s">
        <v>41</v>
      </c>
      <c r="G18" s="105" t="s">
        <v>39</v>
      </c>
      <c r="H18" s="107" t="s">
        <v>192</v>
      </c>
      <c r="I18" s="100" t="str">
        <f t="shared" si="2"/>
        <v>Mantenimiento del control</v>
      </c>
      <c r="J18" s="99">
        <f t="shared" si="0"/>
        <v>20</v>
      </c>
      <c r="K18" s="97">
        <v>0.12345</v>
      </c>
      <c r="L18" s="97">
        <f t="shared" si="3"/>
        <v>20.123449999999998</v>
      </c>
    </row>
    <row r="19" spans="1:32" s="46" customFormat="1" ht="37.5" customHeight="1" x14ac:dyDescent="0.3">
      <c r="A19" s="95" t="str">
        <f t="shared" si="1"/>
        <v>1d</v>
      </c>
      <c r="B19" s="219"/>
      <c r="C19" s="229"/>
      <c r="D19" s="216"/>
      <c r="E19" s="77" t="s">
        <v>42</v>
      </c>
      <c r="F19" s="79" t="s">
        <v>43</v>
      </c>
      <c r="G19" s="105" t="s">
        <v>39</v>
      </c>
      <c r="H19" s="107" t="s">
        <v>193</v>
      </c>
      <c r="I19" s="100" t="str">
        <f t="shared" si="2"/>
        <v>Mantenimiento del control</v>
      </c>
      <c r="J19" s="99">
        <f t="shared" si="0"/>
        <v>20</v>
      </c>
      <c r="K19" s="97">
        <v>0.123456</v>
      </c>
      <c r="L19" s="97">
        <f t="shared" si="3"/>
        <v>20.123456000000001</v>
      </c>
    </row>
    <row r="20" spans="1:32" s="46" customFormat="1" ht="37.5" customHeight="1" x14ac:dyDescent="0.3">
      <c r="A20" s="95" t="str">
        <f t="shared" si="1"/>
        <v>1e</v>
      </c>
      <c r="B20" s="219"/>
      <c r="C20" s="229"/>
      <c r="D20" s="216"/>
      <c r="E20" s="77" t="s">
        <v>44</v>
      </c>
      <c r="F20" s="79" t="s">
        <v>45</v>
      </c>
      <c r="G20" s="105" t="s">
        <v>39</v>
      </c>
      <c r="H20" s="107" t="s">
        <v>194</v>
      </c>
      <c r="I20" s="100" t="str">
        <f t="shared" si="2"/>
        <v>Mantenimiento del control</v>
      </c>
      <c r="J20" s="99">
        <f t="shared" si="0"/>
        <v>20</v>
      </c>
      <c r="K20" s="97">
        <v>0.12345678</v>
      </c>
      <c r="L20" s="97">
        <f t="shared" si="3"/>
        <v>20.123456780000001</v>
      </c>
    </row>
    <row r="21" spans="1:32" s="46" customFormat="1" ht="63.75" customHeight="1" x14ac:dyDescent="0.3">
      <c r="A21" s="95" t="str">
        <f t="shared" si="1"/>
        <v>1f</v>
      </c>
      <c r="B21" s="219"/>
      <c r="C21" s="229"/>
      <c r="D21" s="216"/>
      <c r="E21" s="77" t="s">
        <v>46</v>
      </c>
      <c r="F21" s="79" t="s">
        <v>47</v>
      </c>
      <c r="G21" s="105" t="s">
        <v>39</v>
      </c>
      <c r="H21" s="107" t="s">
        <v>195</v>
      </c>
      <c r="I21" s="100" t="str">
        <f t="shared" si="2"/>
        <v>Mantenimiento del control</v>
      </c>
      <c r="J21" s="99">
        <f t="shared" si="0"/>
        <v>20</v>
      </c>
      <c r="K21" s="97">
        <v>0.123456789</v>
      </c>
      <c r="L21" s="97">
        <f t="shared" si="3"/>
        <v>20.123456788999999</v>
      </c>
    </row>
    <row r="22" spans="1:32" s="46" customFormat="1" ht="65.25" customHeight="1" x14ac:dyDescent="0.3">
      <c r="A22" s="95" t="str">
        <f t="shared" si="1"/>
        <v>1g</v>
      </c>
      <c r="B22" s="219"/>
      <c r="C22" s="229"/>
      <c r="D22" s="216"/>
      <c r="E22" s="77" t="s">
        <v>48</v>
      </c>
      <c r="F22" s="79" t="s">
        <v>49</v>
      </c>
      <c r="G22" s="105" t="s">
        <v>39</v>
      </c>
      <c r="H22" s="107" t="s">
        <v>196</v>
      </c>
      <c r="I22" s="100" t="str">
        <f t="shared" si="2"/>
        <v>Mantenimiento del control</v>
      </c>
      <c r="J22" s="99">
        <f t="shared" si="0"/>
        <v>20</v>
      </c>
      <c r="K22" s="97">
        <v>0.12345678910000001</v>
      </c>
      <c r="L22" s="97">
        <f t="shared" si="3"/>
        <v>20.1234567891</v>
      </c>
    </row>
    <row r="23" spans="1:32" s="46" customFormat="1" ht="62.25" customHeight="1" x14ac:dyDescent="0.3">
      <c r="A23" s="95" t="str">
        <f t="shared" si="1"/>
        <v>1h</v>
      </c>
      <c r="B23" s="219"/>
      <c r="C23" s="229"/>
      <c r="D23" s="216"/>
      <c r="E23" s="77" t="s">
        <v>50</v>
      </c>
      <c r="F23" s="79" t="s">
        <v>51</v>
      </c>
      <c r="G23" s="105" t="s">
        <v>39</v>
      </c>
      <c r="H23" s="107" t="s">
        <v>197</v>
      </c>
      <c r="I23" s="100" t="str">
        <f t="shared" si="2"/>
        <v>Mantenimiento del control</v>
      </c>
      <c r="J23" s="99">
        <f t="shared" si="0"/>
        <v>20</v>
      </c>
      <c r="K23" s="97">
        <v>0.12345678911999999</v>
      </c>
      <c r="L23" s="97">
        <f t="shared" si="3"/>
        <v>20.123456789119999</v>
      </c>
    </row>
    <row r="24" spans="1:32" s="46" customFormat="1" ht="57.75" customHeight="1" x14ac:dyDescent="0.3">
      <c r="A24" s="95" t="str">
        <f t="shared" si="1"/>
        <v>1i</v>
      </c>
      <c r="B24" s="219"/>
      <c r="C24" s="229"/>
      <c r="D24" s="216"/>
      <c r="E24" s="77" t="s">
        <v>52</v>
      </c>
      <c r="F24" s="79" t="s">
        <v>53</v>
      </c>
      <c r="G24" s="105" t="s">
        <v>39</v>
      </c>
      <c r="H24" s="107"/>
      <c r="I24" s="100" t="str">
        <f t="shared" si="2"/>
        <v>Mantenimiento del control</v>
      </c>
      <c r="J24" s="99">
        <f t="shared" si="0"/>
        <v>20</v>
      </c>
      <c r="K24" s="97">
        <v>0.123456789123</v>
      </c>
      <c r="L24" s="97">
        <f t="shared" si="3"/>
        <v>20.123456789123001</v>
      </c>
    </row>
    <row r="25" spans="1:32" s="46" customFormat="1" ht="52.5" customHeight="1" x14ac:dyDescent="0.3">
      <c r="A25" s="95" t="str">
        <f t="shared" si="1"/>
        <v>1j</v>
      </c>
      <c r="B25" s="219"/>
      <c r="C25" s="229"/>
      <c r="D25" s="216"/>
      <c r="E25" s="77" t="s">
        <v>54</v>
      </c>
      <c r="F25" s="79" t="s">
        <v>55</v>
      </c>
      <c r="G25" s="105" t="s">
        <v>39</v>
      </c>
      <c r="H25" s="107" t="s">
        <v>198</v>
      </c>
      <c r="I25" s="100" t="str">
        <f t="shared" si="2"/>
        <v>Mantenimiento del control</v>
      </c>
      <c r="J25" s="99">
        <f t="shared" si="0"/>
        <v>20</v>
      </c>
      <c r="K25" s="97">
        <v>0.1234567891234</v>
      </c>
      <c r="L25" s="97">
        <f t="shared" si="3"/>
        <v>20.123456789123399</v>
      </c>
    </row>
    <row r="26" spans="1:32" s="46" customFormat="1" ht="42" customHeight="1" x14ac:dyDescent="0.3">
      <c r="A26" s="95" t="str">
        <f t="shared" si="1"/>
        <v>1k</v>
      </c>
      <c r="B26" s="219"/>
      <c r="C26" s="229"/>
      <c r="D26" s="216"/>
      <c r="E26" s="77" t="s">
        <v>56</v>
      </c>
      <c r="F26" s="79" t="s">
        <v>57</v>
      </c>
      <c r="G26" s="105" t="s">
        <v>76</v>
      </c>
      <c r="H26" s="107" t="s">
        <v>199</v>
      </c>
      <c r="I26" s="100" t="str">
        <f t="shared" si="2"/>
        <v>Oportunidad de mejora</v>
      </c>
      <c r="J26" s="99">
        <f t="shared" si="0"/>
        <v>10</v>
      </c>
      <c r="K26" s="97">
        <v>0.12345678912345</v>
      </c>
      <c r="L26" s="97">
        <f t="shared" si="3"/>
        <v>10.12345678912345</v>
      </c>
    </row>
    <row r="27" spans="1:32" s="46" customFormat="1" ht="31.8" thickBot="1" x14ac:dyDescent="0.35">
      <c r="A27" s="95" t="str">
        <f t="shared" si="1"/>
        <v>1l</v>
      </c>
      <c r="B27" s="220"/>
      <c r="C27" s="230"/>
      <c r="D27" s="217"/>
      <c r="E27" s="80" t="s">
        <v>58</v>
      </c>
      <c r="F27" s="81" t="s">
        <v>59</v>
      </c>
      <c r="G27" s="108" t="s">
        <v>39</v>
      </c>
      <c r="H27" s="109" t="s">
        <v>200</v>
      </c>
      <c r="I27" s="101" t="str">
        <f t="shared" si="2"/>
        <v>Mantenimiento del control</v>
      </c>
      <c r="J27" s="99">
        <f t="shared" si="0"/>
        <v>20</v>
      </c>
      <c r="K27" s="97">
        <v>0.12345678912345601</v>
      </c>
      <c r="L27" s="97">
        <f t="shared" si="3"/>
        <v>20.123456789123455</v>
      </c>
    </row>
    <row r="28" spans="1:32" s="46" customFormat="1" ht="44.25" customHeight="1" x14ac:dyDescent="0.3">
      <c r="A28" s="95" t="str">
        <f>2&amp;E28</f>
        <v>2a</v>
      </c>
      <c r="B28" s="221" t="s">
        <v>60</v>
      </c>
      <c r="C28" s="231" t="s">
        <v>61</v>
      </c>
      <c r="D28" s="224" t="s">
        <v>62</v>
      </c>
      <c r="E28" s="75" t="s">
        <v>34</v>
      </c>
      <c r="F28" s="76" t="s">
        <v>63</v>
      </c>
      <c r="G28" s="103" t="s">
        <v>76</v>
      </c>
      <c r="H28" s="104" t="s">
        <v>204</v>
      </c>
      <c r="I28" s="96" t="str">
        <f t="shared" si="2"/>
        <v>Oportunidad de mejora</v>
      </c>
      <c r="J28" s="97">
        <f>+IF(G28="Si",40,IF(G28="En proceso",30,20))</f>
        <v>30</v>
      </c>
      <c r="K28" s="97">
        <v>0.23</v>
      </c>
      <c r="L28" s="97">
        <f t="shared" si="3"/>
        <v>30.23</v>
      </c>
    </row>
    <row r="29" spans="1:32" s="46" customFormat="1" ht="46.8" x14ac:dyDescent="0.3">
      <c r="A29" s="95" t="str">
        <f t="shared" ref="A29:A31" si="4">2&amp;E29</f>
        <v>2b</v>
      </c>
      <c r="B29" s="222"/>
      <c r="C29" s="232"/>
      <c r="D29" s="225"/>
      <c r="E29" s="77" t="s">
        <v>37</v>
      </c>
      <c r="F29" s="79" t="s">
        <v>64</v>
      </c>
      <c r="G29" s="105" t="s">
        <v>39</v>
      </c>
      <c r="H29" s="107" t="s">
        <v>203</v>
      </c>
      <c r="I29" s="100" t="str">
        <f t="shared" si="2"/>
        <v>Mantenimiento del control</v>
      </c>
      <c r="J29" s="97">
        <f>+IF(G29="Si",40,IF(G29="En proceso",30,20))</f>
        <v>40</v>
      </c>
      <c r="K29" s="97">
        <v>0.23400000000000001</v>
      </c>
      <c r="L29" s="97">
        <f t="shared" si="3"/>
        <v>40.234000000000002</v>
      </c>
    </row>
    <row r="30" spans="1:32" s="46" customFormat="1" ht="46.8" x14ac:dyDescent="0.3">
      <c r="A30" s="95" t="str">
        <f t="shared" si="4"/>
        <v>2c</v>
      </c>
      <c r="B30" s="222"/>
      <c r="C30" s="232"/>
      <c r="D30" s="225"/>
      <c r="E30" s="77" t="s">
        <v>40</v>
      </c>
      <c r="F30" s="79" t="s">
        <v>65</v>
      </c>
      <c r="G30" s="105" t="s">
        <v>36</v>
      </c>
      <c r="H30" s="107" t="s">
        <v>201</v>
      </c>
      <c r="I30" s="100" t="str">
        <f t="shared" si="2"/>
        <v>Deficiencia de control</v>
      </c>
      <c r="J30" s="97">
        <f>+IF(G30="Si",40,IF(G30="En proceso",30,20))</f>
        <v>20</v>
      </c>
      <c r="K30" s="97">
        <v>0.23449999999999999</v>
      </c>
      <c r="L30" s="97">
        <f t="shared" si="3"/>
        <v>20.234500000000001</v>
      </c>
    </row>
    <row r="31" spans="1:32" s="46" customFormat="1" ht="55.8" thickBot="1" x14ac:dyDescent="0.35">
      <c r="A31" s="95" t="str">
        <f t="shared" si="4"/>
        <v>2d</v>
      </c>
      <c r="B31" s="223"/>
      <c r="C31" s="233"/>
      <c r="D31" s="226"/>
      <c r="E31" s="80" t="s">
        <v>42</v>
      </c>
      <c r="F31" s="81" t="s">
        <v>66</v>
      </c>
      <c r="G31" s="108" t="s">
        <v>39</v>
      </c>
      <c r="H31" s="109" t="s">
        <v>202</v>
      </c>
      <c r="I31" s="101" t="str">
        <f t="shared" si="2"/>
        <v>Mantenimiento del control</v>
      </c>
      <c r="J31" s="97">
        <f>+IF(G31="Si",40,IF(G31="En proceso",30,20))</f>
        <v>40</v>
      </c>
      <c r="K31" s="97">
        <v>0.23455999999999999</v>
      </c>
      <c r="L31" s="97">
        <f t="shared" si="3"/>
        <v>40.234560000000002</v>
      </c>
    </row>
    <row r="32" spans="1:32" s="46" customFormat="1" ht="49.5" customHeight="1" x14ac:dyDescent="0.3">
      <c r="A32" s="95" t="str">
        <f>3&amp;E32</f>
        <v>3a</v>
      </c>
      <c r="B32" s="243" t="s">
        <v>67</v>
      </c>
      <c r="C32" s="243" t="s">
        <v>61</v>
      </c>
      <c r="D32" s="244" t="s">
        <v>68</v>
      </c>
      <c r="E32" s="77" t="s">
        <v>34</v>
      </c>
      <c r="F32" s="79" t="s">
        <v>69</v>
      </c>
      <c r="G32" s="105" t="s">
        <v>36</v>
      </c>
      <c r="H32" s="107"/>
      <c r="I32" s="100" t="str">
        <f t="shared" si="2"/>
        <v>Deficiencia de control</v>
      </c>
      <c r="J32" s="97">
        <f t="shared" ref="J32:J37" si="5">+IF(G32="Si",40,IF(G32="En proceso",30,20))</f>
        <v>20</v>
      </c>
      <c r="K32" s="102">
        <v>0.234567</v>
      </c>
      <c r="L32" s="97">
        <f t="shared" ref="L32:L37" si="6">+J32+K32</f>
        <v>20.234566999999998</v>
      </c>
      <c r="M32" s="45"/>
      <c r="N32" s="45"/>
      <c r="O32" s="45"/>
      <c r="P32" s="45"/>
      <c r="Q32" s="45"/>
      <c r="R32" s="45"/>
      <c r="S32" s="45"/>
      <c r="T32" s="45"/>
      <c r="U32" s="45"/>
      <c r="V32" s="45"/>
      <c r="W32" s="45"/>
      <c r="X32" s="45"/>
      <c r="Y32" s="45"/>
      <c r="Z32" s="45"/>
      <c r="AA32" s="45"/>
      <c r="AB32" s="45"/>
      <c r="AC32" s="45"/>
      <c r="AD32" s="45"/>
      <c r="AE32" s="45"/>
      <c r="AF32" s="45"/>
    </row>
    <row r="33" spans="1:32" s="46" customFormat="1" ht="49.5" customHeight="1" x14ac:dyDescent="0.3">
      <c r="A33" s="95" t="str">
        <f t="shared" ref="A33:A34" si="7">3&amp;E33</f>
        <v>3b</v>
      </c>
      <c r="B33" s="243"/>
      <c r="C33" s="243"/>
      <c r="D33" s="244"/>
      <c r="E33" s="77" t="s">
        <v>37</v>
      </c>
      <c r="F33" s="79" t="s">
        <v>70</v>
      </c>
      <c r="G33" s="105" t="s">
        <v>36</v>
      </c>
      <c r="H33" s="107"/>
      <c r="I33" s="100" t="str">
        <f t="shared" si="2"/>
        <v>Deficiencia de control</v>
      </c>
      <c r="J33" s="97">
        <f t="shared" si="5"/>
        <v>20</v>
      </c>
      <c r="K33" s="102">
        <v>0.23456779999999999</v>
      </c>
      <c r="L33" s="97">
        <f t="shared" si="6"/>
        <v>20.234567800000001</v>
      </c>
      <c r="M33" s="45"/>
      <c r="N33" s="45"/>
      <c r="O33" s="45"/>
      <c r="P33" s="45"/>
      <c r="Q33" s="45"/>
      <c r="R33" s="45"/>
      <c r="S33" s="45"/>
      <c r="T33" s="45"/>
      <c r="U33" s="45"/>
      <c r="V33" s="45"/>
      <c r="W33" s="45"/>
      <c r="X33" s="45"/>
      <c r="Y33" s="45"/>
      <c r="Z33" s="45"/>
      <c r="AA33" s="45"/>
      <c r="AB33" s="45"/>
      <c r="AC33" s="45"/>
      <c r="AD33" s="45"/>
      <c r="AE33" s="45"/>
      <c r="AF33" s="45"/>
    </row>
    <row r="34" spans="1:32" s="46" customFormat="1" ht="66" customHeight="1" thickBot="1" x14ac:dyDescent="0.35">
      <c r="A34" s="95" t="str">
        <f t="shared" si="7"/>
        <v>3c</v>
      </c>
      <c r="B34" s="243"/>
      <c r="C34" s="243"/>
      <c r="D34" s="244"/>
      <c r="E34" s="77" t="s">
        <v>40</v>
      </c>
      <c r="F34" s="79" t="s">
        <v>71</v>
      </c>
      <c r="G34" s="105" t="s">
        <v>36</v>
      </c>
      <c r="H34" s="107"/>
      <c r="I34" s="100" t="str">
        <f t="shared" si="2"/>
        <v>Deficiencia de control</v>
      </c>
      <c r="J34" s="97">
        <f t="shared" si="5"/>
        <v>20</v>
      </c>
      <c r="K34" s="102">
        <v>0.23456789</v>
      </c>
      <c r="L34" s="97">
        <f t="shared" si="6"/>
        <v>20.234567890000001</v>
      </c>
      <c r="M34" s="45"/>
      <c r="N34" s="45"/>
      <c r="O34" s="45"/>
      <c r="P34" s="45"/>
      <c r="Q34" s="45"/>
      <c r="R34" s="45"/>
      <c r="S34" s="45"/>
      <c r="T34" s="45"/>
      <c r="U34" s="45"/>
      <c r="V34" s="45"/>
      <c r="W34" s="45"/>
      <c r="X34" s="45"/>
      <c r="Y34" s="45"/>
      <c r="Z34" s="45"/>
      <c r="AA34" s="45"/>
      <c r="AB34" s="45"/>
      <c r="AC34" s="45"/>
      <c r="AD34" s="45"/>
      <c r="AE34" s="45"/>
      <c r="AF34" s="45"/>
    </row>
    <row r="35" spans="1:32" s="46" customFormat="1" ht="60.75" customHeight="1" x14ac:dyDescent="0.3">
      <c r="A35" s="95" t="str">
        <f>4&amp;E35</f>
        <v>4a</v>
      </c>
      <c r="B35" s="245" t="s">
        <v>72</v>
      </c>
      <c r="C35" s="232" t="s">
        <v>61</v>
      </c>
      <c r="D35" s="225" t="s">
        <v>73</v>
      </c>
      <c r="E35" s="75" t="s">
        <v>34</v>
      </c>
      <c r="F35" s="76" t="s">
        <v>74</v>
      </c>
      <c r="G35" s="103" t="s">
        <v>39</v>
      </c>
      <c r="H35" s="104" t="s">
        <v>205</v>
      </c>
      <c r="I35" s="96" t="str">
        <f t="shared" si="2"/>
        <v>Mantenimiento del control</v>
      </c>
      <c r="J35" s="97">
        <f t="shared" si="5"/>
        <v>40</v>
      </c>
      <c r="K35" s="102">
        <v>0.23456789119999999</v>
      </c>
      <c r="L35" s="97">
        <f t="shared" si="6"/>
        <v>40.234567891200001</v>
      </c>
      <c r="M35" s="45"/>
      <c r="N35" s="45"/>
      <c r="O35" s="45"/>
      <c r="P35" s="45"/>
      <c r="Q35" s="45"/>
    </row>
    <row r="36" spans="1:32" s="46" customFormat="1" ht="57.75" customHeight="1" x14ac:dyDescent="0.3">
      <c r="A36" s="95" t="str">
        <f t="shared" ref="A36:A37" si="8">4&amp;E36</f>
        <v>4b</v>
      </c>
      <c r="B36" s="245"/>
      <c r="C36" s="232"/>
      <c r="D36" s="225"/>
      <c r="E36" s="77" t="s">
        <v>37</v>
      </c>
      <c r="F36" s="79" t="s">
        <v>75</v>
      </c>
      <c r="G36" s="105" t="s">
        <v>76</v>
      </c>
      <c r="H36" s="107"/>
      <c r="I36" s="100" t="str">
        <f t="shared" si="2"/>
        <v>Oportunidad de mejora</v>
      </c>
      <c r="J36" s="97">
        <f t="shared" si="5"/>
        <v>30</v>
      </c>
      <c r="K36" s="102">
        <v>0.23456789122999999</v>
      </c>
      <c r="L36" s="97">
        <f t="shared" si="6"/>
        <v>30.23456789123</v>
      </c>
      <c r="M36" s="45"/>
      <c r="N36" s="45"/>
      <c r="O36" s="45"/>
      <c r="P36" s="45"/>
      <c r="Q36" s="45"/>
    </row>
    <row r="37" spans="1:32" s="46" customFormat="1" ht="49.5" customHeight="1" thickBot="1" x14ac:dyDescent="0.35">
      <c r="A37" s="95" t="str">
        <f t="shared" si="8"/>
        <v>4c</v>
      </c>
      <c r="B37" s="245"/>
      <c r="C37" s="232"/>
      <c r="D37" s="225"/>
      <c r="E37" s="77" t="s">
        <v>40</v>
      </c>
      <c r="F37" s="79" t="s">
        <v>77</v>
      </c>
      <c r="G37" s="105" t="s">
        <v>39</v>
      </c>
      <c r="H37" s="107"/>
      <c r="I37" s="100" t="str">
        <f t="shared" si="2"/>
        <v>Mantenimiento del control</v>
      </c>
      <c r="J37" s="97">
        <f t="shared" si="5"/>
        <v>40</v>
      </c>
      <c r="K37" s="102">
        <v>0.23456789123399999</v>
      </c>
      <c r="L37" s="97">
        <f t="shared" si="6"/>
        <v>40.234567891234001</v>
      </c>
      <c r="M37" s="45"/>
      <c r="N37" s="45"/>
      <c r="O37" s="45"/>
      <c r="P37" s="45"/>
      <c r="Q37" s="45"/>
    </row>
    <row r="38" spans="1:32" s="46" customFormat="1" ht="85.5" customHeight="1" x14ac:dyDescent="0.3">
      <c r="A38" s="95" t="str">
        <f>5&amp;E38</f>
        <v>5a</v>
      </c>
      <c r="B38" s="246" t="s">
        <v>78</v>
      </c>
      <c r="C38" s="234" t="s">
        <v>79</v>
      </c>
      <c r="D38" s="249" t="s">
        <v>80</v>
      </c>
      <c r="E38" s="75" t="s">
        <v>34</v>
      </c>
      <c r="F38" s="76" t="s">
        <v>81</v>
      </c>
      <c r="G38" s="103" t="s">
        <v>76</v>
      </c>
      <c r="H38" s="104" t="s">
        <v>220</v>
      </c>
      <c r="I38" s="96" t="str">
        <f t="shared" si="2"/>
        <v>Oportunidad de mejora</v>
      </c>
      <c r="J38" s="97">
        <f>+IF(G38="Si",60,IF(G38="En proceso",50,40))</f>
        <v>50</v>
      </c>
      <c r="K38" s="97">
        <v>0.31</v>
      </c>
      <c r="L38" s="97">
        <f t="shared" si="3"/>
        <v>50.31</v>
      </c>
    </row>
    <row r="39" spans="1:32" s="46" customFormat="1" ht="62.4" x14ac:dyDescent="0.3">
      <c r="A39" s="95" t="str">
        <f t="shared" ref="A39:A42" si="9">5&amp;E39</f>
        <v>5b</v>
      </c>
      <c r="B39" s="247"/>
      <c r="C39" s="235"/>
      <c r="D39" s="250"/>
      <c r="E39" s="77" t="s">
        <v>37</v>
      </c>
      <c r="F39" s="79" t="s">
        <v>82</v>
      </c>
      <c r="G39" s="105" t="s">
        <v>76</v>
      </c>
      <c r="H39" s="107" t="s">
        <v>205</v>
      </c>
      <c r="I39" s="100" t="str">
        <f t="shared" si="2"/>
        <v>Oportunidad de mejora</v>
      </c>
      <c r="J39" s="97">
        <f>+IF(G39="Si",60,IF(G39="En proceso",50,40))</f>
        <v>50</v>
      </c>
      <c r="K39" s="97">
        <v>0.32300000000000001</v>
      </c>
      <c r="L39" s="97">
        <f t="shared" si="3"/>
        <v>50.323</v>
      </c>
    </row>
    <row r="40" spans="1:32" s="46" customFormat="1" ht="46.8" x14ac:dyDescent="0.3">
      <c r="A40" s="95" t="str">
        <f t="shared" si="9"/>
        <v>5c</v>
      </c>
      <c r="B40" s="247"/>
      <c r="C40" s="235"/>
      <c r="D40" s="250"/>
      <c r="E40" s="77" t="s">
        <v>40</v>
      </c>
      <c r="F40" s="79" t="s">
        <v>83</v>
      </c>
      <c r="G40" s="105" t="s">
        <v>76</v>
      </c>
      <c r="H40" s="107" t="s">
        <v>208</v>
      </c>
      <c r="I40" s="100" t="str">
        <f t="shared" si="2"/>
        <v>Oportunidad de mejora</v>
      </c>
      <c r="J40" s="97">
        <f>+IF(G40="Si",60,IF(G40="En proceso",50,40))</f>
        <v>50</v>
      </c>
      <c r="K40" s="97">
        <v>0.32400000000000001</v>
      </c>
      <c r="L40" s="97">
        <f t="shared" si="3"/>
        <v>50.323999999999998</v>
      </c>
    </row>
    <row r="41" spans="1:32" s="46" customFormat="1" ht="93.6" x14ac:dyDescent="0.3">
      <c r="A41" s="95" t="str">
        <f t="shared" si="9"/>
        <v>5d</v>
      </c>
      <c r="B41" s="247"/>
      <c r="C41" s="235"/>
      <c r="D41" s="250"/>
      <c r="E41" s="77" t="s">
        <v>42</v>
      </c>
      <c r="F41" s="79" t="s">
        <v>84</v>
      </c>
      <c r="G41" s="105" t="s">
        <v>76</v>
      </c>
      <c r="H41" s="107" t="s">
        <v>207</v>
      </c>
      <c r="I41" s="100" t="str">
        <f t="shared" si="2"/>
        <v>Oportunidad de mejora</v>
      </c>
      <c r="J41" s="97">
        <f>+IF(G41="Si",60,IF(G41="En proceso",50,40))</f>
        <v>50</v>
      </c>
      <c r="K41" s="97">
        <v>0.32500000000000001</v>
      </c>
      <c r="L41" s="97">
        <f t="shared" si="3"/>
        <v>50.325000000000003</v>
      </c>
    </row>
    <row r="42" spans="1:32" s="46" customFormat="1" ht="47.4" thickBot="1" x14ac:dyDescent="0.35">
      <c r="A42" s="95" t="str">
        <f t="shared" si="9"/>
        <v>5e</v>
      </c>
      <c r="B42" s="248"/>
      <c r="C42" s="236"/>
      <c r="D42" s="251"/>
      <c r="E42" s="80" t="s">
        <v>44</v>
      </c>
      <c r="F42" s="81" t="s">
        <v>85</v>
      </c>
      <c r="G42" s="108" t="s">
        <v>76</v>
      </c>
      <c r="H42" s="109" t="s">
        <v>206</v>
      </c>
      <c r="I42" s="101" t="str">
        <f t="shared" si="2"/>
        <v>Oportunidad de mejora</v>
      </c>
      <c r="J42" s="97">
        <f>+IF(G42="Si",60,IF(G42="En proceso",50,40))</f>
        <v>50</v>
      </c>
      <c r="K42" s="97">
        <v>0.32600000000000001</v>
      </c>
      <c r="L42" s="97">
        <f t="shared" si="3"/>
        <v>50.326000000000001</v>
      </c>
    </row>
    <row r="43" spans="1:32" s="46" customFormat="1" ht="40.5" customHeight="1" x14ac:dyDescent="0.3">
      <c r="A43" s="95" t="str">
        <f>6&amp;E43</f>
        <v>6a</v>
      </c>
      <c r="B43" s="206" t="s">
        <v>86</v>
      </c>
      <c r="C43" s="237" t="s">
        <v>87</v>
      </c>
      <c r="D43" s="203" t="s">
        <v>88</v>
      </c>
      <c r="E43" s="75" t="s">
        <v>34</v>
      </c>
      <c r="F43" s="76" t="s">
        <v>89</v>
      </c>
      <c r="G43" s="103" t="s">
        <v>39</v>
      </c>
      <c r="H43" s="104" t="s">
        <v>226</v>
      </c>
      <c r="I43" s="96" t="str">
        <f t="shared" si="2"/>
        <v>Mantenimiento del control</v>
      </c>
      <c r="J43" s="97">
        <f t="shared" ref="J43:J49" si="10">+IF(G43="Si",80,IF(G43="En proceso",70,60))</f>
        <v>80</v>
      </c>
      <c r="K43" s="97">
        <v>0.41199999999999998</v>
      </c>
      <c r="L43" s="97">
        <f t="shared" si="3"/>
        <v>80.412000000000006</v>
      </c>
    </row>
    <row r="44" spans="1:32" s="46" customFormat="1" ht="33" customHeight="1" x14ac:dyDescent="0.3">
      <c r="A44" s="95" t="str">
        <f t="shared" ref="A44:A49" si="11">6&amp;E44</f>
        <v>6b</v>
      </c>
      <c r="B44" s="207"/>
      <c r="C44" s="238"/>
      <c r="D44" s="204"/>
      <c r="E44" s="77" t="s">
        <v>37</v>
      </c>
      <c r="F44" s="79" t="s">
        <v>90</v>
      </c>
      <c r="G44" s="105" t="s">
        <v>76</v>
      </c>
      <c r="H44" s="107" t="s">
        <v>230</v>
      </c>
      <c r="I44" s="100" t="str">
        <f t="shared" si="2"/>
        <v>Oportunidad de mejora</v>
      </c>
      <c r="J44" s="97">
        <f t="shared" si="10"/>
        <v>70</v>
      </c>
      <c r="K44" s="97">
        <v>0.4123</v>
      </c>
      <c r="L44" s="97">
        <f t="shared" si="3"/>
        <v>70.412300000000002</v>
      </c>
    </row>
    <row r="45" spans="1:32" s="46" customFormat="1" ht="55.2" x14ac:dyDescent="0.3">
      <c r="A45" s="95" t="str">
        <f t="shared" si="11"/>
        <v>6c</v>
      </c>
      <c r="B45" s="207"/>
      <c r="C45" s="238"/>
      <c r="D45" s="204"/>
      <c r="E45" s="77" t="s">
        <v>40</v>
      </c>
      <c r="F45" s="79" t="s">
        <v>91</v>
      </c>
      <c r="G45" s="105" t="s">
        <v>39</v>
      </c>
      <c r="H45" s="107" t="s">
        <v>209</v>
      </c>
      <c r="I45" s="100" t="str">
        <f t="shared" si="2"/>
        <v>Mantenimiento del control</v>
      </c>
      <c r="J45" s="97">
        <f t="shared" si="10"/>
        <v>80</v>
      </c>
      <c r="K45" s="97">
        <v>0.41233999999999998</v>
      </c>
      <c r="L45" s="97">
        <f t="shared" si="3"/>
        <v>80.41234</v>
      </c>
    </row>
    <row r="46" spans="1:32" s="46" customFormat="1" ht="41.4" x14ac:dyDescent="0.3">
      <c r="A46" s="95" t="str">
        <f t="shared" si="11"/>
        <v>6d</v>
      </c>
      <c r="B46" s="207"/>
      <c r="C46" s="238"/>
      <c r="D46" s="204"/>
      <c r="E46" s="77" t="s">
        <v>42</v>
      </c>
      <c r="F46" s="79" t="s">
        <v>92</v>
      </c>
      <c r="G46" s="105" t="s">
        <v>39</v>
      </c>
      <c r="H46" s="107" t="s">
        <v>210</v>
      </c>
      <c r="I46" s="100" t="str">
        <f t="shared" si="2"/>
        <v>Mantenimiento del control</v>
      </c>
      <c r="J46" s="97">
        <f t="shared" si="10"/>
        <v>80</v>
      </c>
      <c r="K46" s="97">
        <v>0.41234500000000002</v>
      </c>
      <c r="L46" s="97">
        <f t="shared" si="3"/>
        <v>80.412345000000002</v>
      </c>
    </row>
    <row r="47" spans="1:32" s="46" customFormat="1" ht="62.4" x14ac:dyDescent="0.3">
      <c r="A47" s="95" t="str">
        <f t="shared" si="11"/>
        <v>6e</v>
      </c>
      <c r="B47" s="207"/>
      <c r="C47" s="238"/>
      <c r="D47" s="204"/>
      <c r="E47" s="77" t="s">
        <v>44</v>
      </c>
      <c r="F47" s="79" t="s">
        <v>93</v>
      </c>
      <c r="G47" s="105" t="s">
        <v>39</v>
      </c>
      <c r="H47" s="107" t="s">
        <v>225</v>
      </c>
      <c r="I47" s="100" t="str">
        <f t="shared" si="2"/>
        <v>Mantenimiento del control</v>
      </c>
      <c r="J47" s="97">
        <f t="shared" si="10"/>
        <v>80</v>
      </c>
      <c r="K47" s="97">
        <v>0.41234559999999998</v>
      </c>
      <c r="L47" s="97">
        <f t="shared" si="3"/>
        <v>80.412345599999995</v>
      </c>
    </row>
    <row r="48" spans="1:32" s="46" customFormat="1" ht="46.8" x14ac:dyDescent="0.3">
      <c r="A48" s="95" t="str">
        <f t="shared" si="11"/>
        <v>6f</v>
      </c>
      <c r="B48" s="207"/>
      <c r="C48" s="238"/>
      <c r="D48" s="204"/>
      <c r="E48" s="77" t="s">
        <v>46</v>
      </c>
      <c r="F48" s="79" t="s">
        <v>94</v>
      </c>
      <c r="G48" s="105" t="s">
        <v>39</v>
      </c>
      <c r="H48" s="107" t="s">
        <v>211</v>
      </c>
      <c r="I48" s="100" t="str">
        <f t="shared" si="2"/>
        <v>Mantenimiento del control</v>
      </c>
      <c r="J48" s="97">
        <f t="shared" si="10"/>
        <v>80</v>
      </c>
      <c r="K48" s="97">
        <v>0.41234567</v>
      </c>
      <c r="L48" s="97">
        <f t="shared" si="3"/>
        <v>80.412345669999993</v>
      </c>
    </row>
    <row r="49" spans="1:17" s="46" customFormat="1" ht="47.4" thickBot="1" x14ac:dyDescent="0.35">
      <c r="A49" s="95" t="str">
        <f t="shared" si="11"/>
        <v>6g</v>
      </c>
      <c r="B49" s="208"/>
      <c r="C49" s="239"/>
      <c r="D49" s="205"/>
      <c r="E49" s="80" t="s">
        <v>48</v>
      </c>
      <c r="F49" s="81" t="s">
        <v>95</v>
      </c>
      <c r="G49" s="108" t="s">
        <v>39</v>
      </c>
      <c r="H49" s="109" t="s">
        <v>212</v>
      </c>
      <c r="I49" s="101" t="str">
        <f t="shared" si="2"/>
        <v>Mantenimiento del control</v>
      </c>
      <c r="J49" s="97">
        <f t="shared" si="10"/>
        <v>80</v>
      </c>
      <c r="K49" s="97">
        <v>0.41234567799999999</v>
      </c>
      <c r="L49" s="97">
        <f t="shared" si="3"/>
        <v>80.412345677999994</v>
      </c>
    </row>
    <row r="50" spans="1:17" s="46" customFormat="1" ht="54.75" customHeight="1" x14ac:dyDescent="0.3">
      <c r="A50" s="95" t="str">
        <f>7&amp;E50</f>
        <v>7a</v>
      </c>
      <c r="B50" s="212" t="s">
        <v>96</v>
      </c>
      <c r="C50" s="240" t="s">
        <v>97</v>
      </c>
      <c r="D50" s="209" t="s">
        <v>98</v>
      </c>
      <c r="E50" s="75" t="s">
        <v>34</v>
      </c>
      <c r="F50" s="76" t="s">
        <v>99</v>
      </c>
      <c r="G50" s="103" t="s">
        <v>76</v>
      </c>
      <c r="H50" s="104" t="s">
        <v>228</v>
      </c>
      <c r="I50" s="96" t="str">
        <f t="shared" si="2"/>
        <v>Oportunidad de mejora</v>
      </c>
      <c r="J50" s="97">
        <f>+IF(G50="Si",120,IF(G50="En proceso",100,80))</f>
        <v>100</v>
      </c>
      <c r="K50" s="97">
        <v>0.85099999999999998</v>
      </c>
      <c r="L50" s="97">
        <f t="shared" si="3"/>
        <v>100.851</v>
      </c>
    </row>
    <row r="51" spans="1:17" s="46" customFormat="1" ht="78" x14ac:dyDescent="0.3">
      <c r="A51" s="95" t="str">
        <f t="shared" ref="A51:A53" si="12">7&amp;E51</f>
        <v>7d</v>
      </c>
      <c r="B51" s="213"/>
      <c r="C51" s="241"/>
      <c r="D51" s="210"/>
      <c r="E51" s="77" t="s">
        <v>42</v>
      </c>
      <c r="F51" s="79" t="s">
        <v>100</v>
      </c>
      <c r="G51" s="105" t="s">
        <v>39</v>
      </c>
      <c r="H51" s="107" t="s">
        <v>213</v>
      </c>
      <c r="I51" s="100" t="str">
        <f t="shared" si="2"/>
        <v>Mantenimiento del control</v>
      </c>
      <c r="J51" s="97">
        <f t="shared" ref="J51:J59" si="13">+IF(G51="Si",120,IF(G51="En proceso",100,80))</f>
        <v>120</v>
      </c>
      <c r="K51" s="97">
        <v>0.85119999999999996</v>
      </c>
      <c r="L51" s="97">
        <f t="shared" si="3"/>
        <v>120.85120000000001</v>
      </c>
    </row>
    <row r="52" spans="1:17" s="46" customFormat="1" ht="46.8" x14ac:dyDescent="0.3">
      <c r="A52" s="95" t="str">
        <f t="shared" si="12"/>
        <v>7f</v>
      </c>
      <c r="B52" s="213"/>
      <c r="C52" s="241"/>
      <c r="D52" s="210"/>
      <c r="E52" s="77" t="s">
        <v>46</v>
      </c>
      <c r="F52" s="79" t="s">
        <v>101</v>
      </c>
      <c r="G52" s="105" t="s">
        <v>76</v>
      </c>
      <c r="H52" s="107" t="s">
        <v>229</v>
      </c>
      <c r="I52" s="100" t="str">
        <f t="shared" si="2"/>
        <v>Oportunidad de mejora</v>
      </c>
      <c r="J52" s="97">
        <f t="shared" si="13"/>
        <v>100</v>
      </c>
      <c r="K52" s="97">
        <v>0.85123000000000004</v>
      </c>
      <c r="L52" s="97">
        <f t="shared" si="3"/>
        <v>100.85123</v>
      </c>
    </row>
    <row r="53" spans="1:17" s="46" customFormat="1" ht="31.8" thickBot="1" x14ac:dyDescent="0.35">
      <c r="A53" s="95" t="str">
        <f t="shared" si="12"/>
        <v>7g</v>
      </c>
      <c r="B53" s="214"/>
      <c r="C53" s="242"/>
      <c r="D53" s="211"/>
      <c r="E53" s="80" t="s">
        <v>48</v>
      </c>
      <c r="F53" s="81" t="s">
        <v>102</v>
      </c>
      <c r="G53" s="108" t="s">
        <v>76</v>
      </c>
      <c r="H53" s="109" t="s">
        <v>214</v>
      </c>
      <c r="I53" s="101" t="str">
        <f t="shared" si="2"/>
        <v>Oportunidad de mejora</v>
      </c>
      <c r="J53" s="97">
        <f t="shared" si="13"/>
        <v>100</v>
      </c>
      <c r="K53" s="97">
        <v>0.85123400000000005</v>
      </c>
      <c r="L53" s="97">
        <f t="shared" si="3"/>
        <v>100.85123400000001</v>
      </c>
    </row>
    <row r="54" spans="1:17" s="46" customFormat="1" ht="102.75" customHeight="1" thickBot="1" x14ac:dyDescent="0.35">
      <c r="A54" s="95" t="str">
        <f>8&amp;E54</f>
        <v>8h</v>
      </c>
      <c r="B54" s="150" t="s">
        <v>103</v>
      </c>
      <c r="C54" s="151" t="s">
        <v>97</v>
      </c>
      <c r="D54" s="70" t="s">
        <v>104</v>
      </c>
      <c r="E54" s="75" t="s">
        <v>50</v>
      </c>
      <c r="F54" s="152" t="s">
        <v>105</v>
      </c>
      <c r="G54" s="103" t="s">
        <v>39</v>
      </c>
      <c r="H54" s="104" t="s">
        <v>215</v>
      </c>
      <c r="I54" s="96" t="str">
        <f t="shared" si="2"/>
        <v>Mantenimiento del control</v>
      </c>
      <c r="J54" s="97">
        <f t="shared" si="13"/>
        <v>120</v>
      </c>
      <c r="K54" s="97">
        <v>0.85123450000000001</v>
      </c>
      <c r="L54" s="97">
        <f t="shared" si="3"/>
        <v>120.8512345</v>
      </c>
    </row>
    <row r="55" spans="1:17" s="46" customFormat="1" ht="54.75" customHeight="1" x14ac:dyDescent="0.3">
      <c r="A55" s="95" t="str">
        <f>9&amp;E55</f>
        <v>9a</v>
      </c>
      <c r="B55" s="212" t="s">
        <v>106</v>
      </c>
      <c r="C55" s="240" t="s">
        <v>97</v>
      </c>
      <c r="D55" s="209" t="s">
        <v>107</v>
      </c>
      <c r="E55" s="75" t="s">
        <v>34</v>
      </c>
      <c r="F55" s="76" t="s">
        <v>108</v>
      </c>
      <c r="G55" s="103" t="s">
        <v>76</v>
      </c>
      <c r="H55" s="104"/>
      <c r="I55" s="96" t="str">
        <f t="shared" si="2"/>
        <v>Oportunidad de mejora</v>
      </c>
      <c r="J55" s="97">
        <f t="shared" si="13"/>
        <v>100</v>
      </c>
      <c r="K55" s="102">
        <v>0.85123455999999997</v>
      </c>
      <c r="L55" s="97">
        <f t="shared" si="3"/>
        <v>100.85123455999999</v>
      </c>
      <c r="M55" s="45"/>
      <c r="N55" s="45"/>
      <c r="O55" s="45"/>
      <c r="P55" s="45"/>
      <c r="Q55" s="45"/>
    </row>
    <row r="56" spans="1:17" s="46" customFormat="1" ht="55.5" customHeight="1" x14ac:dyDescent="0.3">
      <c r="A56" s="95" t="str">
        <f t="shared" ref="A56:A59" si="14">9&amp;E56</f>
        <v>9b</v>
      </c>
      <c r="B56" s="213"/>
      <c r="C56" s="241"/>
      <c r="D56" s="210"/>
      <c r="E56" s="77" t="s">
        <v>37</v>
      </c>
      <c r="F56" s="79" t="s">
        <v>109</v>
      </c>
      <c r="G56" s="105" t="s">
        <v>76</v>
      </c>
      <c r="H56" s="107"/>
      <c r="I56" s="100" t="str">
        <f t="shared" si="2"/>
        <v>Oportunidad de mejora</v>
      </c>
      <c r="J56" s="97">
        <f t="shared" si="13"/>
        <v>100</v>
      </c>
      <c r="K56" s="102">
        <v>0.851234567</v>
      </c>
      <c r="L56" s="97">
        <f t="shared" si="3"/>
        <v>100.85123456700001</v>
      </c>
      <c r="M56" s="45"/>
      <c r="N56" s="45"/>
      <c r="O56" s="45"/>
      <c r="P56" s="45"/>
      <c r="Q56" s="45"/>
    </row>
    <row r="57" spans="1:17" s="46" customFormat="1" ht="77.25" customHeight="1" x14ac:dyDescent="0.3">
      <c r="A57" s="95" t="str">
        <f t="shared" si="14"/>
        <v>9c</v>
      </c>
      <c r="B57" s="213"/>
      <c r="C57" s="241"/>
      <c r="D57" s="210"/>
      <c r="E57" s="77" t="s">
        <v>40</v>
      </c>
      <c r="F57" s="79" t="s">
        <v>110</v>
      </c>
      <c r="G57" s="105" t="s">
        <v>76</v>
      </c>
      <c r="H57" s="107"/>
      <c r="I57" s="100" t="str">
        <f t="shared" si="2"/>
        <v>Oportunidad de mejora</v>
      </c>
      <c r="J57" s="97">
        <f t="shared" si="13"/>
        <v>100</v>
      </c>
      <c r="K57" s="102">
        <v>0.85123456779999995</v>
      </c>
      <c r="L57" s="97">
        <f t="shared" si="3"/>
        <v>100.85123456780001</v>
      </c>
      <c r="M57" s="45"/>
      <c r="N57" s="45"/>
      <c r="O57" s="45"/>
      <c r="P57" s="45"/>
      <c r="Q57" s="45"/>
    </row>
    <row r="58" spans="1:17" s="46" customFormat="1" ht="77.25" customHeight="1" x14ac:dyDescent="0.3">
      <c r="A58" s="95" t="str">
        <f t="shared" si="14"/>
        <v>9d</v>
      </c>
      <c r="B58" s="213"/>
      <c r="C58" s="241"/>
      <c r="D58" s="210"/>
      <c r="E58" s="77" t="s">
        <v>42</v>
      </c>
      <c r="F58" s="79" t="s">
        <v>111</v>
      </c>
      <c r="G58" s="105" t="s">
        <v>76</v>
      </c>
      <c r="H58" s="107"/>
      <c r="I58" s="100" t="str">
        <f t="shared" si="2"/>
        <v>Oportunidad de mejora</v>
      </c>
      <c r="J58" s="97">
        <f t="shared" si="13"/>
        <v>100</v>
      </c>
      <c r="K58" s="102">
        <v>0.85123456788999996</v>
      </c>
      <c r="L58" s="97">
        <f t="shared" si="3"/>
        <v>100.85123456789</v>
      </c>
      <c r="M58" s="45"/>
      <c r="N58" s="45"/>
      <c r="O58" s="45"/>
      <c r="P58" s="45"/>
      <c r="Q58" s="45"/>
    </row>
    <row r="59" spans="1:17" s="46" customFormat="1" ht="77.25" customHeight="1" thickBot="1" x14ac:dyDescent="0.35">
      <c r="A59" s="95" t="str">
        <f t="shared" si="14"/>
        <v>9e</v>
      </c>
      <c r="B59" s="214"/>
      <c r="C59" s="241"/>
      <c r="D59" s="227"/>
      <c r="E59" s="80" t="s">
        <v>44</v>
      </c>
      <c r="F59" s="81" t="s">
        <v>112</v>
      </c>
      <c r="G59" s="108" t="s">
        <v>76</v>
      </c>
      <c r="H59" s="109"/>
      <c r="I59" s="101" t="str">
        <f t="shared" si="2"/>
        <v>Oportunidad de mejora</v>
      </c>
      <c r="J59" s="97">
        <f t="shared" si="13"/>
        <v>100</v>
      </c>
      <c r="K59" s="102">
        <v>0.85123456789100005</v>
      </c>
      <c r="L59" s="97">
        <f t="shared" si="3"/>
        <v>100.851234567891</v>
      </c>
      <c r="M59" s="45"/>
      <c r="N59" s="45"/>
      <c r="O59" s="45"/>
      <c r="P59" s="45"/>
      <c r="Q59" s="45"/>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 ref="B14:I14"/>
    <mergeCell ref="D43:D49"/>
    <mergeCell ref="B43:B49"/>
    <mergeCell ref="D50:D53"/>
    <mergeCell ref="B50:B53"/>
    <mergeCell ref="D16:D27"/>
    <mergeCell ref="B16:B27"/>
    <mergeCell ref="B28:B31"/>
    <mergeCell ref="D28:D31"/>
  </mergeCells>
  <dataValidations count="2">
    <dataValidation type="list" allowBlank="1" showInputMessage="1" showErrorMessage="1" sqref="G55:G59 G16:G53" xr:uid="{00000000-0002-0000-0100-000000000000}">
      <formula1>"Si, No, En proceso"</formula1>
    </dataValidation>
    <dataValidation type="list" allowBlank="1" showInputMessage="1" showErrorMessage="1" sqref="G54" xr:uid="{00000000-0002-0000-0100-000001000000}">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74"/>
  <sheetViews>
    <sheetView topLeftCell="A40" zoomScale="80" zoomScaleNormal="80" workbookViewId="0">
      <selection activeCell="E19" sqref="E19:E30"/>
    </sheetView>
  </sheetViews>
  <sheetFormatPr baseColWidth="10" defaultColWidth="11.44140625" defaultRowHeight="14.4" x14ac:dyDescent="0.3"/>
  <cols>
    <col min="3" max="3" width="22.88671875" customWidth="1"/>
    <col min="4" max="4" width="22.5546875" customWidth="1"/>
    <col min="5" max="5" width="53.44140625" customWidth="1"/>
    <col min="7" max="7" width="28.33203125" customWidth="1"/>
    <col min="8" max="8" width="4.88671875" customWidth="1"/>
    <col min="9" max="9" width="15.33203125" customWidth="1"/>
    <col min="10" max="10" width="22.44140625" customWidth="1"/>
    <col min="11" max="29" width="11.44140625" style="1"/>
  </cols>
  <sheetData>
    <row r="1" spans="1:11" x14ac:dyDescent="0.3">
      <c r="A1" s="1"/>
      <c r="B1" s="1"/>
      <c r="C1" s="1"/>
      <c r="D1" s="1"/>
      <c r="E1" s="1"/>
      <c r="F1" s="1"/>
      <c r="G1" s="1"/>
      <c r="H1" s="1"/>
      <c r="I1" s="1"/>
      <c r="J1" s="1"/>
    </row>
    <row r="2" spans="1:11" s="1" customFormat="1" x14ac:dyDescent="0.3"/>
    <row r="3" spans="1:11" s="1" customFormat="1" x14ac:dyDescent="0.3"/>
    <row r="4" spans="1:11" x14ac:dyDescent="0.3">
      <c r="A4" s="1"/>
      <c r="B4" s="1"/>
      <c r="C4" s="1"/>
      <c r="D4" s="1"/>
      <c r="E4" s="1"/>
      <c r="F4" s="1"/>
      <c r="G4" s="1"/>
      <c r="H4" s="1"/>
      <c r="I4" s="1"/>
      <c r="J4" s="1"/>
    </row>
    <row r="5" spans="1:11" x14ac:dyDescent="0.3">
      <c r="A5" s="1"/>
      <c r="B5" s="1"/>
      <c r="C5" s="1"/>
      <c r="D5" s="1"/>
      <c r="E5" s="1"/>
      <c r="F5" s="1"/>
      <c r="G5" s="1"/>
      <c r="H5" s="1"/>
      <c r="I5" s="1"/>
      <c r="J5" s="1"/>
    </row>
    <row r="6" spans="1:11" ht="15" thickBot="1" x14ac:dyDescent="0.35">
      <c r="A6" s="1"/>
      <c r="B6" s="1"/>
      <c r="C6" s="1"/>
      <c r="D6" s="1"/>
      <c r="E6" s="1"/>
      <c r="F6" s="1"/>
      <c r="G6" s="1"/>
      <c r="H6" s="1"/>
      <c r="I6" s="1"/>
      <c r="J6" s="1"/>
    </row>
    <row r="7" spans="1:11" ht="25.8" thickBot="1" x14ac:dyDescent="0.35">
      <c r="A7" s="1"/>
      <c r="B7" s="1"/>
      <c r="C7" s="252" t="s">
        <v>113</v>
      </c>
      <c r="D7" s="253"/>
      <c r="E7" s="253"/>
      <c r="F7" s="253"/>
      <c r="G7" s="253"/>
      <c r="H7" s="253"/>
      <c r="I7" s="253"/>
      <c r="J7" s="253"/>
      <c r="K7" s="254"/>
    </row>
    <row r="8" spans="1:11" s="1" customFormat="1" ht="15" thickBot="1" x14ac:dyDescent="0.35">
      <c r="C8" s="36"/>
      <c r="D8" s="36"/>
      <c r="E8" s="37"/>
      <c r="F8" s="37"/>
      <c r="G8" s="37"/>
      <c r="H8" s="37"/>
      <c r="I8" s="47"/>
      <c r="J8" s="37"/>
      <c r="K8" s="37"/>
    </row>
    <row r="9" spans="1:11" ht="21" thickBot="1" x14ac:dyDescent="0.35">
      <c r="A9" s="1"/>
      <c r="B9" s="1"/>
      <c r="C9" s="161" t="s">
        <v>15</v>
      </c>
      <c r="D9" s="162"/>
      <c r="E9" s="162" t="s">
        <v>16</v>
      </c>
      <c r="F9" s="173"/>
      <c r="G9" s="37"/>
      <c r="H9" s="37"/>
      <c r="I9" s="47"/>
      <c r="J9" s="37"/>
      <c r="K9" s="37"/>
    </row>
    <row r="10" spans="1:11" ht="54" customHeight="1" x14ac:dyDescent="0.3">
      <c r="A10" s="1"/>
      <c r="B10" s="1"/>
      <c r="C10" s="174" t="s">
        <v>17</v>
      </c>
      <c r="D10" s="175"/>
      <c r="E10" s="176" t="s">
        <v>18</v>
      </c>
      <c r="F10" s="177"/>
      <c r="G10" s="38"/>
      <c r="H10" s="39">
        <v>1</v>
      </c>
      <c r="I10" s="47"/>
      <c r="J10" s="37"/>
      <c r="K10" s="37"/>
    </row>
    <row r="11" spans="1:11" ht="46.5" customHeight="1" x14ac:dyDescent="0.3">
      <c r="A11" s="1"/>
      <c r="B11" s="1"/>
      <c r="C11" s="163" t="s">
        <v>19</v>
      </c>
      <c r="D11" s="164"/>
      <c r="E11" s="165" t="s">
        <v>114</v>
      </c>
      <c r="F11" s="166"/>
      <c r="G11" s="40" t="s">
        <v>115</v>
      </c>
      <c r="H11" s="39">
        <v>0.75</v>
      </c>
      <c r="I11" s="47"/>
      <c r="J11" s="37"/>
      <c r="K11" s="37"/>
    </row>
    <row r="12" spans="1:11" ht="70.5" customHeight="1" thickBot="1" x14ac:dyDescent="0.35">
      <c r="A12" s="1"/>
      <c r="B12" s="1"/>
      <c r="C12" s="167" t="s">
        <v>21</v>
      </c>
      <c r="D12" s="168"/>
      <c r="E12" s="169" t="s">
        <v>116</v>
      </c>
      <c r="F12" s="170"/>
      <c r="G12" s="41"/>
      <c r="H12" s="39">
        <v>0.25</v>
      </c>
      <c r="I12" s="47"/>
      <c r="J12" s="37"/>
      <c r="K12" s="37"/>
    </row>
    <row r="13" spans="1:11" s="1" customFormat="1" x14ac:dyDescent="0.3"/>
    <row r="14" spans="1:11" s="1" customFormat="1" x14ac:dyDescent="0.3"/>
    <row r="15" spans="1:11" s="1" customFormat="1" x14ac:dyDescent="0.3"/>
    <row r="16" spans="1:11" s="1" customFormat="1" ht="15" thickBot="1" x14ac:dyDescent="0.35"/>
    <row r="17" spans="1:10" x14ac:dyDescent="0.3">
      <c r="A17" s="1"/>
      <c r="B17" s="1"/>
      <c r="C17" s="260" t="s">
        <v>117</v>
      </c>
      <c r="D17" s="262" t="s">
        <v>118</v>
      </c>
      <c r="E17" s="263"/>
      <c r="F17" s="264" t="s">
        <v>119</v>
      </c>
      <c r="G17" s="266" t="s">
        <v>120</v>
      </c>
      <c r="H17" s="35"/>
      <c r="I17" s="255" t="s">
        <v>121</v>
      </c>
      <c r="J17" s="255" t="s">
        <v>122</v>
      </c>
    </row>
    <row r="18" spans="1:10" ht="36" customHeight="1" thickBot="1" x14ac:dyDescent="0.35">
      <c r="A18" s="1"/>
      <c r="B18" s="1"/>
      <c r="C18" s="261"/>
      <c r="D18" s="110" t="s">
        <v>123</v>
      </c>
      <c r="E18" s="111" t="s">
        <v>27</v>
      </c>
      <c r="F18" s="265"/>
      <c r="G18" s="267"/>
      <c r="H18" s="35"/>
      <c r="I18" s="256"/>
      <c r="J18" s="256"/>
    </row>
    <row r="19" spans="1:10" ht="65.25" customHeight="1" x14ac:dyDescent="0.3">
      <c r="A19" s="1"/>
      <c r="B19" s="1"/>
      <c r="C19" s="129">
        <v>1</v>
      </c>
      <c r="D19" s="257" t="s">
        <v>32</v>
      </c>
      <c r="E19" s="112" t="str">
        <f>+IFERROR(INDEX(Hoja1!$E$2:$E$45,MATCH('Análisis Resultados'!C19,Hoja1!$H$2:$H$45,0)),"")</f>
        <v>Un documento tal como un código de ética, integridad u otro que formalice los estándares de conducta, los principios institucionales o los valores del servicio público</v>
      </c>
      <c r="F19" s="113" t="str">
        <f>+IFERROR(VLOOKUP(C19,Hoja1!$H$2:$I$45,2,0),"")</f>
        <v>No</v>
      </c>
      <c r="G19" s="114"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I19" s="130">
        <f>+IF(F19="Si",1,IF(F19="En proceso",0.5,0))</f>
        <v>0</v>
      </c>
      <c r="J19" s="270">
        <f>+AVERAGE(I19:I30)</f>
        <v>0.875</v>
      </c>
    </row>
    <row r="20" spans="1:10" ht="30.6" x14ac:dyDescent="0.3">
      <c r="A20" s="1"/>
      <c r="B20" s="1"/>
      <c r="C20" s="129">
        <v>2</v>
      </c>
      <c r="D20" s="258"/>
      <c r="E20" s="115" t="str">
        <f>+IFERROR(INDEX(Hoja1!$E$2:$E$45,MATCH('Análisis Resultados'!C20,Hoja1!$H$2:$H$45,0)),"")</f>
        <v>Mecanismos de rendición de cuentas a la ciudadanía</v>
      </c>
      <c r="F20" s="116" t="str">
        <f>+IFERROR(VLOOKUP(C20,Hoja1!$H$2:$I$45,2,0),"")</f>
        <v>En proceso</v>
      </c>
      <c r="G20" s="117"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Se encuentra en proceso, pero requiere continuar con acciones dirigidas a contar con dicho aspecto de control.</v>
      </c>
      <c r="I20" s="131">
        <f t="shared" ref="I20:I62" si="1">+IF(F20="Si",1,IF(F20="En proceso",0.5,0))</f>
        <v>0.5</v>
      </c>
      <c r="J20" s="271"/>
    </row>
    <row r="21" spans="1:10" ht="30.6" x14ac:dyDescent="0.3">
      <c r="A21" s="1"/>
      <c r="B21" s="1"/>
      <c r="C21" s="129">
        <v>3</v>
      </c>
      <c r="D21" s="258"/>
      <c r="E21" s="115" t="str">
        <f>+IFERROR(INDEX(Hoja1!$E$2:$E$45,MATCH('Análisis Resultados'!C21,Hoja1!$H$2:$H$45,0)),"")</f>
        <v>Documento interno o adopción del MECI actualizado</v>
      </c>
      <c r="F21" s="116" t="str">
        <f>+IFERROR(VLOOKUP(C21,Hoja1!$H$2:$I$45,2,0),"")</f>
        <v>Si</v>
      </c>
      <c r="G21" s="117" t="str">
        <f t="shared" si="0"/>
        <v>Existe requerimiento pero se requiere actividades  dirigidas a su mantenimiento dentro del marco de las lineas de defensa.</v>
      </c>
      <c r="I21" s="131">
        <f t="shared" si="1"/>
        <v>1</v>
      </c>
      <c r="J21" s="271"/>
    </row>
    <row r="22" spans="1:10" ht="56.25" customHeight="1" x14ac:dyDescent="0.3">
      <c r="A22" s="1"/>
      <c r="B22" s="1"/>
      <c r="C22" s="129">
        <v>4</v>
      </c>
      <c r="D22" s="258"/>
      <c r="E22" s="115" t="str">
        <f>+IFERROR(INDEX(Hoja1!$E$2:$E$45,MATCH('Análisis Resultados'!C22,Hoja1!$H$2:$H$45,0)),"")</f>
        <v>Planes, programas y proyectos de acuerdo con las normas que rigen y atendiendo con su propósito fundamental institucional (misión)</v>
      </c>
      <c r="F22" s="116" t="str">
        <f>+IFERROR(VLOOKUP(C22,Hoja1!$H$2:$I$45,2,0),"")</f>
        <v>Si</v>
      </c>
      <c r="G22" s="117" t="str">
        <f t="shared" si="0"/>
        <v>Existe requerimiento pero se requiere actividades  dirigidas a su mantenimiento dentro del marco de las lineas de defensa.</v>
      </c>
      <c r="I22" s="131">
        <f t="shared" si="1"/>
        <v>1</v>
      </c>
      <c r="J22" s="271"/>
    </row>
    <row r="23" spans="1:10" ht="30.6" x14ac:dyDescent="0.3">
      <c r="A23" s="1"/>
      <c r="B23" s="1"/>
      <c r="C23" s="129">
        <v>5</v>
      </c>
      <c r="D23" s="258"/>
      <c r="E23" s="115" t="str">
        <f>+IFERROR(INDEX(Hoja1!$E$2:$E$45,MATCH('Análisis Resultados'!C23,Hoja1!$H$2:$H$45,0)),"")</f>
        <v>Una estructura organizacional formalizada (organigrama)</v>
      </c>
      <c r="F23" s="116" t="str">
        <f>+IFERROR(VLOOKUP(C23,Hoja1!$H$2:$I$45,2,0),"")</f>
        <v>Si</v>
      </c>
      <c r="G23" s="117" t="str">
        <f t="shared" si="0"/>
        <v>Existe requerimiento pero se requiere actividades  dirigidas a su mantenimiento dentro del marco de las lineas de defensa.</v>
      </c>
      <c r="I23" s="131">
        <f t="shared" si="1"/>
        <v>1</v>
      </c>
      <c r="J23" s="271"/>
    </row>
    <row r="24" spans="1:10" ht="30.6" x14ac:dyDescent="0.3">
      <c r="A24" s="1"/>
      <c r="B24" s="1"/>
      <c r="C24" s="129">
        <v>6</v>
      </c>
      <c r="D24" s="258"/>
      <c r="E24" s="115" t="str">
        <f>+IFERROR(INDEX(Hoja1!$E$2:$E$45,MATCH('Análisis Resultados'!C24,Hoja1!$H$2:$H$45,0)),"")</f>
        <v>Un manual de funciones que describa los empleos de la entidad</v>
      </c>
      <c r="F24" s="116" t="str">
        <f>+IFERROR(VLOOKUP(C24,Hoja1!$H$2:$I$45,2,0),"")</f>
        <v>Si</v>
      </c>
      <c r="G24" s="117" t="str">
        <f t="shared" si="0"/>
        <v>Existe requerimiento pero se requiere actividades  dirigidas a su mantenimiento dentro del marco de las lineas de defensa.</v>
      </c>
      <c r="I24" s="131">
        <f t="shared" si="1"/>
        <v>1</v>
      </c>
      <c r="J24" s="271"/>
    </row>
    <row r="25" spans="1:10" ht="41.4" x14ac:dyDescent="0.3">
      <c r="A25" s="1"/>
      <c r="B25" s="1"/>
      <c r="C25" s="129">
        <v>7</v>
      </c>
      <c r="D25" s="258"/>
      <c r="E25" s="115" t="str">
        <f>+IFERROR(INDEX(Hoja1!$E$2:$E$45,MATCH('Análisis Resultados'!C25,Hoja1!$H$2:$H$45,0)),"")</f>
        <v>La documentación de sus procesos y procedimientos o bien una lista de actividades principales que permitan conocer el estado de su gestión</v>
      </c>
      <c r="F25" s="116" t="str">
        <f>+IFERROR(VLOOKUP(C25,Hoja1!$H$2:$I$45,2,0),"")</f>
        <v>Si</v>
      </c>
      <c r="G25" s="117" t="str">
        <f t="shared" si="0"/>
        <v>Existe requerimiento pero se requiere actividades  dirigidas a su mantenimiento dentro del marco de las lineas de defensa.</v>
      </c>
      <c r="I25" s="131">
        <f t="shared" si="1"/>
        <v>1</v>
      </c>
      <c r="J25" s="271"/>
    </row>
    <row r="26" spans="1:10" ht="41.4" x14ac:dyDescent="0.3">
      <c r="A26" s="1"/>
      <c r="B26" s="1"/>
      <c r="C26" s="129">
        <v>8</v>
      </c>
      <c r="D26" s="258"/>
      <c r="E26" s="115" t="str">
        <f>+IFERROR(INDEX(Hoja1!$E$2:$E$45,MATCH('Análisis Resultados'!C26,Hoja1!$H$2:$H$45,0)),"")</f>
        <v>Vinculación de los servidores públicos de acuerdo con el marco normativo que les rige (carrera administrativa, libre nombramiento y remoción, entre otros)</v>
      </c>
      <c r="F26" s="116" t="str">
        <f>+IFERROR(VLOOKUP(C26,Hoja1!$H$2:$I$45,2,0),"")</f>
        <v>Si</v>
      </c>
      <c r="G26" s="117" t="str">
        <f t="shared" si="0"/>
        <v>Existe requerimiento pero se requiere actividades  dirigidas a su mantenimiento dentro del marco de las lineas de defensa.</v>
      </c>
      <c r="I26" s="131">
        <f t="shared" si="1"/>
        <v>1</v>
      </c>
      <c r="J26" s="271"/>
    </row>
    <row r="27" spans="1:10" ht="41.4" x14ac:dyDescent="0.3">
      <c r="A27" s="1"/>
      <c r="B27" s="1"/>
      <c r="C27" s="129">
        <v>9</v>
      </c>
      <c r="D27" s="258"/>
      <c r="E27" s="115" t="str">
        <f>+IFERROR(INDEX(Hoja1!$E$2:$E$45,MATCH('Análisis Resultados'!C27,Hoja1!$H$2:$H$45,0)),"")</f>
        <v>Procesos de inducción, capacitación y bienestar social para sus servidores públicos, de manera directa o en asociación con otras entidades municipales</v>
      </c>
      <c r="F27" s="116" t="str">
        <f>+IFERROR(VLOOKUP(C27,Hoja1!$H$2:$I$45,2,0),"")</f>
        <v>Si</v>
      </c>
      <c r="G27" s="117" t="str">
        <f t="shared" si="0"/>
        <v>Existe requerimiento pero se requiere actividades  dirigidas a su mantenimiento dentro del marco de las lineas de defensa.</v>
      </c>
      <c r="I27" s="131">
        <f t="shared" si="1"/>
        <v>1</v>
      </c>
      <c r="J27" s="271"/>
    </row>
    <row r="28" spans="1:10" ht="30.6" x14ac:dyDescent="0.3">
      <c r="A28" s="1"/>
      <c r="B28" s="1"/>
      <c r="C28" s="129">
        <v>10</v>
      </c>
      <c r="D28" s="258"/>
      <c r="E28" s="115" t="str">
        <f>+IFERROR(INDEX(Hoja1!$E$2:$E$45,MATCH('Análisis Resultados'!C28,Hoja1!$H$2:$H$45,0)),"")</f>
        <v>Evaluación a los servidores públicos de acuerdo con el marco normativo que le rige</v>
      </c>
      <c r="F28" s="116" t="str">
        <f>+IFERROR(VLOOKUP(C28,Hoja1!$H$2:$I$45,2,0),"")</f>
        <v>Si</v>
      </c>
      <c r="G28" s="117" t="str">
        <f t="shared" si="0"/>
        <v>Existe requerimiento pero se requiere actividades  dirigidas a su mantenimiento dentro del marco de las lineas de defensa.</v>
      </c>
      <c r="I28" s="131">
        <f t="shared" si="1"/>
        <v>1</v>
      </c>
      <c r="J28" s="271"/>
    </row>
    <row r="29" spans="1:10" ht="30.6" x14ac:dyDescent="0.3">
      <c r="A29" s="1"/>
      <c r="B29" s="1"/>
      <c r="C29" s="129">
        <v>11</v>
      </c>
      <c r="D29" s="258"/>
      <c r="E29" s="115" t="str">
        <f>+IFERROR(INDEX(Hoja1!$E$2:$E$45,MATCH('Análisis Resultados'!C29,Hoja1!$H$2:$H$45,0)),"")</f>
        <v>Procesos de desvinculación de servidores de acuerdo con lo previsto en la Constitución Política y las leyes</v>
      </c>
      <c r="F29" s="116" t="str">
        <f>+IFERROR(VLOOKUP(C29,Hoja1!$H$2:$I$45,2,0),"")</f>
        <v>Si</v>
      </c>
      <c r="G29" s="117"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I29" s="131">
        <f t="shared" si="1"/>
        <v>1</v>
      </c>
      <c r="J29" s="271"/>
    </row>
    <row r="30" spans="1:10" ht="31.2" thickBot="1" x14ac:dyDescent="0.35">
      <c r="A30" s="1"/>
      <c r="B30" s="1"/>
      <c r="C30" s="129">
        <v>12</v>
      </c>
      <c r="D30" s="259"/>
      <c r="E30" s="118" t="str">
        <f>+IFERROR(INDEX(Hoja1!$E$2:$E$45,MATCH('Análisis Resultados'!C30,Hoja1!$H$2:$H$45,0)),"")</f>
        <v>Presentación oportuna de sus informes de gestión a las autoridades competentes</v>
      </c>
      <c r="F30" s="119" t="str">
        <f>+IFERROR(VLOOKUP(C30,Hoja1!$H$2:$I$45,2,0),"")</f>
        <v>Si</v>
      </c>
      <c r="G30" s="120" t="str">
        <f t="shared" si="0"/>
        <v>Existe requerimiento pero se requiere actividades  dirigidas a su mantenimiento dentro del marco de las lineas de defensa.</v>
      </c>
      <c r="I30" s="132">
        <f t="shared" si="1"/>
        <v>1</v>
      </c>
      <c r="J30" s="272"/>
    </row>
    <row r="31" spans="1:10" ht="45" customHeight="1" x14ac:dyDescent="0.3">
      <c r="A31" s="1"/>
      <c r="B31" s="1"/>
      <c r="C31" s="129">
        <v>13</v>
      </c>
      <c r="D31" s="284" t="s">
        <v>61</v>
      </c>
      <c r="E31" s="112" t="str">
        <f>+IFERROR(INDEX(Hoja1!$E$2:$E$45,MATCH('Análisis Resultados'!C31,Hoja1!$H$2:$H$45,0)),"")</f>
        <v>La identificación  de los riesgos relacionados con posibles actos de corrupción en el ejercicio de sus funciones</v>
      </c>
      <c r="F31" s="113" t="str">
        <f>+IFERROR(VLOOKUP(C31,Hoja1!$H$2:$I$45,2,0),"")</f>
        <v>No</v>
      </c>
      <c r="G31" s="114" t="str">
        <f t="shared" si="0"/>
        <v>No se encuentra el aspecto  por lo tanto la entidad debera generar acciones dirigidas a que se cumpla con el requerimiento.</v>
      </c>
      <c r="I31" s="130">
        <f t="shared" si="1"/>
        <v>0</v>
      </c>
      <c r="J31" s="268">
        <f>+AVERAGE(I31:I40)</f>
        <v>0.5</v>
      </c>
    </row>
    <row r="32" spans="1:10" ht="57" customHeight="1" x14ac:dyDescent="0.3">
      <c r="A32" s="1"/>
      <c r="B32" s="1"/>
      <c r="C32" s="129">
        <v>14</v>
      </c>
      <c r="D32" s="285"/>
      <c r="E32" s="115" t="str">
        <f>+IFERROR(INDEX(Hoja1!$E$2:$E$45,MATCH('Análisis Resultados'!C32,Hoja1!$H$2:$H$45,0)),"")</f>
        <v>Hacen seguimiento a los problemas (riesgos)  que pueden afectar el cumplimiento de sus procesos, programas o proyectos a cargo</v>
      </c>
      <c r="F32" s="116" t="str">
        <f>+IFERROR(VLOOKUP(C32,Hoja1!$H$2:$I$45,2,0),"")</f>
        <v>No</v>
      </c>
      <c r="G32" s="117" t="str">
        <f t="shared" si="0"/>
        <v>No se encuentra el aspecto  por lo tanto la entidad debera generar acciones dirigidas a que se cumpla con el requerimiento.</v>
      </c>
      <c r="I32" s="131">
        <f t="shared" si="1"/>
        <v>0</v>
      </c>
      <c r="J32" s="269"/>
    </row>
    <row r="33" spans="1:10" ht="54" customHeight="1" x14ac:dyDescent="0.3">
      <c r="A33" s="1"/>
      <c r="B33" s="1"/>
      <c r="C33" s="129">
        <v>15</v>
      </c>
      <c r="D33" s="285"/>
      <c r="E33" s="115" t="str">
        <f>+IFERROR(INDEX(Hoja1!$E$2:$E$45,MATCH('Análisis Resultados'!C33,Hoja1!$H$2:$H$45,0)),"")</f>
        <v>Informan de manera periódica a quien corresponda sobre el desempeño de las actividades de gestión de riesgos</v>
      </c>
      <c r="F33" s="116" t="str">
        <f>+IFERROR(VLOOKUP(C33,Hoja1!$H$2:$I$45,2,0),"")</f>
        <v>No</v>
      </c>
      <c r="G33" s="117" t="str">
        <f t="shared" si="0"/>
        <v>No se encuentra el aspecto  por lo tanto la entidad debera generar acciones dirigidas a que se cumpla con el requerimiento.</v>
      </c>
      <c r="I33" s="131">
        <f t="shared" si="1"/>
        <v>0</v>
      </c>
      <c r="J33" s="269"/>
    </row>
    <row r="34" spans="1:10" ht="41.4" x14ac:dyDescent="0.3">
      <c r="A34" s="1"/>
      <c r="B34" s="1"/>
      <c r="C34" s="129">
        <v>16</v>
      </c>
      <c r="D34" s="285"/>
      <c r="E34" s="115" t="str">
        <f>+IFERROR(INDEX(Hoja1!$E$2:$E$45,MATCH('Análisis Resultados'!C34,Hoja1!$H$2:$H$45,0)),"")</f>
        <v>Identifican deficiencias en las maneras de  controlar los riesgos o problemas en sus procesos, programas o proyectos, y propone los ajustes necesarios</v>
      </c>
      <c r="F34" s="116" t="str">
        <f>+IFERROR(VLOOKUP(C34,Hoja1!$H$2:$I$45,2,0),"")</f>
        <v>No</v>
      </c>
      <c r="G34" s="117" t="str">
        <f t="shared" si="0"/>
        <v>No se encuentra el aspecto  por lo tanto la entidad debera generar acciones dirigidas a que se cumpla con el requerimiento.</v>
      </c>
      <c r="I34" s="131">
        <f t="shared" si="1"/>
        <v>0</v>
      </c>
      <c r="J34" s="269"/>
    </row>
    <row r="35" spans="1:10" ht="67.5" customHeight="1" x14ac:dyDescent="0.3">
      <c r="A35" s="1"/>
      <c r="B35" s="1"/>
      <c r="C35" s="129">
        <v>17</v>
      </c>
      <c r="D35" s="285"/>
      <c r="E35" s="115" t="str">
        <f>+IFERROR(INDEX(Hoja1!$E$2:$E$45,MATCH('Análisis Resultados'!C35,Hoja1!$H$2:$H$45,0)),"")</f>
        <v>La identificación de cambios en su entorno que pueden generar consecuencias negativas en su gestión</v>
      </c>
      <c r="F35" s="116" t="str">
        <f>+IFERROR(VLOOKUP(C35,Hoja1!$H$2:$I$45,2,0),"")</f>
        <v>En proceso</v>
      </c>
      <c r="G35" s="117" t="str">
        <f t="shared" si="0"/>
        <v>Se encuentra en proceso, pero requiere continuar con acciones dirigidas a contar con dicho aspecto de control.</v>
      </c>
      <c r="I35" s="131">
        <f t="shared" si="1"/>
        <v>0.5</v>
      </c>
      <c r="J35" s="269"/>
    </row>
    <row r="36" spans="1:10" ht="30.6" x14ac:dyDescent="0.3">
      <c r="A36" s="1"/>
      <c r="B36" s="1"/>
      <c r="C36" s="129">
        <v>18</v>
      </c>
      <c r="D36" s="285"/>
      <c r="E36" s="115" t="str">
        <f>+IFERROR(INDEX(Hoja1!$E$2:$E$45,MATCH('Análisis Resultados'!C36,Hoja1!$H$2:$H$45,0)),"")</f>
        <v>Cada líder del equipo autónomamente toma las acciones para solucionarlos.</v>
      </c>
      <c r="F36" s="116" t="str">
        <f>+IFERROR(VLOOKUP(C36,Hoja1!$H$2:$I$45,2,0),"")</f>
        <v>En proceso</v>
      </c>
      <c r="G36" s="117" t="str">
        <f t="shared" si="0"/>
        <v>Se encuentra en proceso, pero requiere continuar con acciones dirigidas a contar con dicho aspecto de control.</v>
      </c>
      <c r="I36" s="131">
        <f t="shared" si="1"/>
        <v>0.5</v>
      </c>
      <c r="J36" s="269"/>
    </row>
    <row r="37" spans="1:10" ht="57" customHeight="1" x14ac:dyDescent="0.3">
      <c r="A37" s="1"/>
      <c r="B37" s="1"/>
      <c r="C37" s="129">
        <v>19</v>
      </c>
      <c r="D37" s="285"/>
      <c r="E37" s="115" t="str">
        <f>+IFERROR(INDEX(Hoja1!$E$2:$E$45,MATCH('Análisis Resultados'!C37,Hoja1!$H$2:$H$45,0)),"")</f>
        <v>La identificación de aquellos problemas o aspectos que pueden afectar el cumplimiento de los planes de la entidad y en general su gestión institucional (riesgos)</v>
      </c>
      <c r="F37" s="116" t="str">
        <f>+IFERROR(VLOOKUP(C37,Hoja1!$H$2:$I$45,2,0),"")</f>
        <v>Si</v>
      </c>
      <c r="G37" s="117" t="str">
        <f t="shared" si="0"/>
        <v>Existe requerimiento pero se requiere actividades  dirigidas a su mantenimiento dentro del marco de las lineas de defensa.</v>
      </c>
      <c r="I37" s="131">
        <f t="shared" si="1"/>
        <v>1</v>
      </c>
      <c r="J37" s="269"/>
    </row>
    <row r="38" spans="1:10" ht="41.4" x14ac:dyDescent="0.3">
      <c r="A38" s="1"/>
      <c r="B38" s="1"/>
      <c r="C38" s="129">
        <v>20</v>
      </c>
      <c r="D38" s="285"/>
      <c r="E38" s="115" t="str">
        <f>+IFERROR(INDEX(Hoja1!$E$2:$E$45,MATCH('Análisis Resultados'!C38,Hoja1!$H$2:$H$45,0)),"")</f>
        <v>Si su capacidad e infraestructura lo permite, identificación de riesgos asociados a las tecnologías de la información y las comunicaciones</v>
      </c>
      <c r="F38" s="116" t="str">
        <f>+IFERROR(VLOOKUP(C38,Hoja1!$H$2:$I$45,2,0),"")</f>
        <v>Si</v>
      </c>
      <c r="G38" s="117" t="str">
        <f t="shared" si="0"/>
        <v>Existe requerimiento pero se requiere actividades  dirigidas a su mantenimiento dentro del marco de las lineas de defensa.</v>
      </c>
      <c r="I38" s="131">
        <f t="shared" si="1"/>
        <v>1</v>
      </c>
      <c r="J38" s="269"/>
    </row>
    <row r="39" spans="1:10" ht="30.6" x14ac:dyDescent="0.3">
      <c r="A39" s="1"/>
      <c r="B39" s="1"/>
      <c r="C39" s="129">
        <v>21</v>
      </c>
      <c r="D39" s="285"/>
      <c r="E39" s="115" t="str">
        <f>+IFERROR(INDEX(Hoja1!$E$2:$E$45,MATCH('Análisis Resultados'!C39,Hoja1!$H$2:$H$45,0)),"")</f>
        <v>Se definen espacios de reunión para conocerlos y proponer acciones para su solución</v>
      </c>
      <c r="F39" s="116" t="str">
        <f>+IFERROR(VLOOKUP(C39,Hoja1!$H$2:$I$45,2,0),"")</f>
        <v>Si</v>
      </c>
      <c r="G39" s="117" t="str">
        <f t="shared" si="0"/>
        <v>Existe requerimiento pero se requiere actividades  dirigidas a su mantenimiento dentro del marco de las lineas de defensa.</v>
      </c>
      <c r="I39" s="131">
        <f t="shared" si="1"/>
        <v>1</v>
      </c>
      <c r="J39" s="269"/>
    </row>
    <row r="40" spans="1:10" ht="31.2" thickBot="1" x14ac:dyDescent="0.35">
      <c r="A40" s="1"/>
      <c r="B40" s="1"/>
      <c r="C40" s="129">
        <v>22</v>
      </c>
      <c r="D40" s="285"/>
      <c r="E40" s="121" t="str">
        <f>+IFERROR(INDEX(Hoja1!$E$2:$E$45,MATCH('Análisis Resultados'!C40,Hoja1!$H$2:$H$45,0)),"")</f>
        <v>Solamente hasta que un organismo de control actúa se definen acciones de mejora.</v>
      </c>
      <c r="F40" s="122" t="str">
        <f>+IFERROR(VLOOKUP(C40,Hoja1!$H$2:$I$45,2,0),"")</f>
        <v>Si</v>
      </c>
      <c r="G40" s="123" t="str">
        <f t="shared" si="0"/>
        <v>Existe requerimiento pero se requiere actividades  dirigidas a su mantenimiento dentro del marco de las lineas de defensa.</v>
      </c>
      <c r="I40" s="133">
        <f t="shared" si="1"/>
        <v>1</v>
      </c>
      <c r="J40" s="269"/>
    </row>
    <row r="41" spans="1:10" ht="87.75" customHeight="1" x14ac:dyDescent="0.3">
      <c r="A41" s="1"/>
      <c r="B41" s="1"/>
      <c r="C41" s="129">
        <v>23</v>
      </c>
      <c r="D41" s="280" t="s">
        <v>79</v>
      </c>
      <c r="E41" s="112" t="str">
        <f>+IFERROR(INDEX(Hoja1!$E$2:$E$45,MATCH('Análisis Resultados'!C41,Hoja1!$H$2:$H$45,0)),"")</f>
        <v>La definición de acciones o actividades para para dar tratamiento a los problemas identificados (mitigación de riesgos), incluyendo aquellos asociados a posibles actos de corrupción</v>
      </c>
      <c r="F41" s="113" t="str">
        <f>+IFERROR(VLOOKUP(C41,Hoja1!$H$2:$I$45,2,0),"")</f>
        <v>En proceso</v>
      </c>
      <c r="G41" s="114" t="str">
        <f t="shared" si="0"/>
        <v>Se encuentra en proceso, pero requiere continuar con acciones dirigidas a contar con dicho aspecto de control.</v>
      </c>
      <c r="I41" s="130">
        <f t="shared" si="1"/>
        <v>0.5</v>
      </c>
      <c r="J41" s="268">
        <f>+AVERAGE(I41:I45)</f>
        <v>0.5</v>
      </c>
    </row>
    <row r="42" spans="1:10" ht="41.4" x14ac:dyDescent="0.3">
      <c r="A42" s="1"/>
      <c r="B42" s="1"/>
      <c r="C42" s="129">
        <v>24</v>
      </c>
      <c r="D42" s="281"/>
      <c r="E42" s="115" t="str">
        <f>+IFERROR(INDEX(Hoja1!$E$2:$E$45,MATCH('Análisis Resultados'!C42,Hoja1!$H$2:$H$45,0)),"")</f>
        <v>Mecanismos de verificación de si se están o no mitigando los riesgos, o en su defecto, elaboración de planes de contingencia para subsanar sus consecuencias</v>
      </c>
      <c r="F42" s="116" t="str">
        <f>+IFERROR(VLOOKUP(C42,Hoja1!$H$2:$I$45,2,0),"")</f>
        <v>En proceso</v>
      </c>
      <c r="G42" s="117" t="str">
        <f t="shared" si="0"/>
        <v>Se encuentra en proceso, pero requiere continuar con acciones dirigidas a contar con dicho aspecto de control.</v>
      </c>
      <c r="I42" s="131">
        <f t="shared" si="1"/>
        <v>0.5</v>
      </c>
      <c r="J42" s="269"/>
    </row>
    <row r="43" spans="1:10" ht="85.5" customHeight="1" x14ac:dyDescent="0.3">
      <c r="A43" s="1"/>
      <c r="B43" s="1"/>
      <c r="C43" s="129">
        <v>25</v>
      </c>
      <c r="D43" s="281"/>
      <c r="E43" s="115" t="str">
        <f>+IFERROR(INDEX(Hoja1!$E$2:$E$45,MATCH('Análisis Resultados'!C43,Hoja1!$H$2:$H$45,0)),"")</f>
        <v>Planes, acciones o estrategias que permitan subsanar las consecuencias de la materialización de los riesgos, cuando se presentan</v>
      </c>
      <c r="F43" s="116" t="str">
        <f>+IFERROR(VLOOKUP(C43,Hoja1!$H$2:$I$45,2,0),"")</f>
        <v>En proceso</v>
      </c>
      <c r="G43" s="117" t="str">
        <f t="shared" si="0"/>
        <v>Se encuentra en proceso, pero requiere continuar con acciones dirigidas a contar con dicho aspecto de control.</v>
      </c>
      <c r="I43" s="131">
        <f t="shared" si="1"/>
        <v>0.5</v>
      </c>
      <c r="J43" s="269"/>
    </row>
    <row r="44" spans="1:10" ht="57" customHeight="1" x14ac:dyDescent="0.3">
      <c r="A44" s="1"/>
      <c r="B44" s="1"/>
      <c r="C44" s="129">
        <v>26</v>
      </c>
      <c r="D44" s="281"/>
      <c r="E44" s="115"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16" t="str">
        <f>+IFERROR(VLOOKUP(C44,Hoja1!$H$2:$I$45,2,0),"")</f>
        <v>En proceso</v>
      </c>
      <c r="G44" s="117" t="str">
        <f t="shared" si="0"/>
        <v>Se encuentra en proceso, pero requiere continuar con acciones dirigidas a contar con dicho aspecto de control.</v>
      </c>
      <c r="I44" s="131">
        <f t="shared" si="1"/>
        <v>0.5</v>
      </c>
      <c r="J44" s="269"/>
    </row>
    <row r="45" spans="1:10" ht="57" customHeight="1" thickBot="1" x14ac:dyDescent="0.35">
      <c r="A45" s="1"/>
      <c r="B45" s="1"/>
      <c r="C45" s="129">
        <v>27</v>
      </c>
      <c r="D45" s="282"/>
      <c r="E45" s="118" t="str">
        <f>+IFERROR(INDEX(Hoja1!$E$2:$E$45,MATCH('Análisis Resultados'!C45,Hoja1!$H$2:$H$45,0)),"")</f>
        <v>Un plan anticorrupción y de servicio al ciudadano con los temas que le aplican, publicado en algún medio para conocimiento de la ciudadanía</v>
      </c>
      <c r="F45" s="119" t="str">
        <f>+IFERROR(VLOOKUP(C45,Hoja1!$H$2:$I$45,2,0),"")</f>
        <v>En proceso</v>
      </c>
      <c r="G45" s="120" t="str">
        <f t="shared" si="0"/>
        <v>Se encuentra en proceso, pero requiere continuar con acciones dirigidas a contar con dicho aspecto de control.</v>
      </c>
      <c r="I45" s="132">
        <f t="shared" si="1"/>
        <v>0.5</v>
      </c>
      <c r="J45" s="283"/>
    </row>
    <row r="46" spans="1:10" ht="63.75" customHeight="1" x14ac:dyDescent="0.3">
      <c r="A46" s="1"/>
      <c r="B46" s="1"/>
      <c r="C46" s="129">
        <v>28</v>
      </c>
      <c r="D46" s="279" t="s">
        <v>87</v>
      </c>
      <c r="E46" s="124" t="str">
        <f>+IFERROR(INDEX(Hoja1!$E$2:$E$45,MATCH('Análisis Resultados'!C46,Hoja1!$H$2:$H$45,0)),"")</f>
        <v>Canales de comunicación con los ciudadanos</v>
      </c>
      <c r="F46" s="125" t="str">
        <f>+IFERROR(VLOOKUP(C46,Hoja1!$H$2:$I$45,2,0),"")</f>
        <v>En proceso</v>
      </c>
      <c r="G46" s="126" t="str">
        <f t="shared" si="0"/>
        <v>Se encuentra en proceso, pero requiere continuar con acciones dirigidas a contar con dicho aspecto de control.</v>
      </c>
      <c r="I46" s="134">
        <f t="shared" si="1"/>
        <v>0.5</v>
      </c>
      <c r="J46" s="269">
        <f>+AVERAGE(I46:I52)</f>
        <v>0.9285714285714286</v>
      </c>
    </row>
    <row r="47" spans="1:10" ht="92.25" customHeight="1" x14ac:dyDescent="0.3">
      <c r="A47" s="1"/>
      <c r="B47" s="1"/>
      <c r="C47" s="129">
        <v>29</v>
      </c>
      <c r="D47" s="279"/>
      <c r="E47" s="115" t="str">
        <f>+IFERROR(INDEX(Hoja1!$E$2:$E$45,MATCH('Análisis Resultados'!C47,Hoja1!$H$2:$H$45,0)),"")</f>
        <v>Responsables de la información institucional</v>
      </c>
      <c r="F47" s="116" t="str">
        <f>+IFERROR(VLOOKUP(C47,Hoja1!$H$2:$I$45,2,0),"")</f>
        <v>Si</v>
      </c>
      <c r="G47" s="127" t="str">
        <f t="shared" si="0"/>
        <v>Existe requerimiento pero se requiere actividades  dirigidas a su mantenimiento dentro del marco de las lineas de defensa.</v>
      </c>
      <c r="I47" s="135">
        <f t="shared" si="1"/>
        <v>1</v>
      </c>
      <c r="J47" s="269"/>
    </row>
    <row r="48" spans="1:10" ht="66.75" customHeight="1" x14ac:dyDescent="0.3">
      <c r="A48" s="1"/>
      <c r="B48" s="1"/>
      <c r="C48" s="129">
        <v>30</v>
      </c>
      <c r="D48" s="279"/>
      <c r="E48" s="115" t="str">
        <f>+IFERROR(INDEX(Hoja1!$E$2:$E$45,MATCH('Análisis Resultados'!C48,Hoja1!$H$2:$H$45,0)),"")</f>
        <v>Canales de comunicación o mecanismos de reporte de información a otros organismos gubernamentales o de control</v>
      </c>
      <c r="F48" s="116" t="str">
        <f>+IFERROR(VLOOKUP(C48,Hoja1!$H$2:$I$45,2,0),"")</f>
        <v>Si</v>
      </c>
      <c r="G48" s="127" t="str">
        <f t="shared" si="0"/>
        <v>Existe requerimiento pero se requiere actividades  dirigidas a su mantenimiento dentro del marco de las lineas de defensa.</v>
      </c>
      <c r="I48" s="135">
        <f t="shared" si="1"/>
        <v>1</v>
      </c>
      <c r="J48" s="269"/>
    </row>
    <row r="49" spans="1:10" ht="60" customHeight="1" x14ac:dyDescent="0.3">
      <c r="A49" s="1"/>
      <c r="B49" s="1"/>
      <c r="C49" s="129">
        <v>31</v>
      </c>
      <c r="D49" s="279"/>
      <c r="E49" s="115" t="str">
        <f>+IFERROR(INDEX(Hoja1!$E$2:$E$45,MATCH('Análisis Resultados'!C49,Hoja1!$H$2:$H$45,0)),"")</f>
        <v xml:space="preserve">Lineamientos para dar tratamiento a la información de carácter reservado </v>
      </c>
      <c r="F49" s="116" t="str">
        <f>+IFERROR(VLOOKUP(C49,Hoja1!$H$2:$I$45,2,0),"")</f>
        <v>Si</v>
      </c>
      <c r="G49" s="127" t="str">
        <f t="shared" si="0"/>
        <v>Existe requerimiento pero se requiere actividades  dirigidas a su mantenimiento dentro del marco de las lineas de defensa.</v>
      </c>
      <c r="I49" s="135">
        <f t="shared" si="1"/>
        <v>1</v>
      </c>
      <c r="J49" s="269"/>
    </row>
    <row r="50" spans="1:10" ht="57" customHeight="1" x14ac:dyDescent="0.3">
      <c r="A50" s="1"/>
      <c r="B50" s="1"/>
      <c r="C50" s="129">
        <v>32</v>
      </c>
      <c r="D50" s="279"/>
      <c r="E50" s="115" t="str">
        <f>+IFERROR(INDEX(Hoja1!$E$2:$E$45,MATCH('Análisis Resultados'!C50,Hoja1!$H$2:$H$45,0)),"")</f>
        <v>Identificación de información que produce en el marco de su gestión (Para los ciudadanos, organismos de control, organismos gubernamentales, entre otros)</v>
      </c>
      <c r="F50" s="116" t="str">
        <f>+IFERROR(VLOOKUP(C50,Hoja1!$H$2:$I$45,2,0),"")</f>
        <v>Si</v>
      </c>
      <c r="G50" s="127" t="str">
        <f t="shared" si="0"/>
        <v>Existe requerimiento pero se requiere actividades  dirigidas a su mantenimiento dentro del marco de las lineas de defensa.</v>
      </c>
      <c r="I50" s="135">
        <f t="shared" si="1"/>
        <v>1</v>
      </c>
      <c r="J50" s="269"/>
    </row>
    <row r="51" spans="1:10" ht="57" customHeight="1" x14ac:dyDescent="0.3">
      <c r="A51" s="1"/>
      <c r="B51" s="1"/>
      <c r="C51" s="129">
        <v>33</v>
      </c>
      <c r="D51" s="279"/>
      <c r="E51" s="115" t="str">
        <f>+IFERROR(INDEX(Hoja1!$E$2:$E$45,MATCH('Análisis Resultados'!C51,Hoja1!$H$2:$H$45,0)),"")</f>
        <v>Identificación de información necesaria para la operación de la entidad (normograma, presupuesto, talento humano, infraestructura física y tecnológica)</v>
      </c>
      <c r="F51" s="116" t="str">
        <f>+IFERROR(VLOOKUP(C51,Hoja1!$H$2:$I$45,2,0),"")</f>
        <v>Si</v>
      </c>
      <c r="G51" s="127" t="str">
        <f t="shared" si="0"/>
        <v>Existe requerimiento pero se requiere actividades  dirigidas a su mantenimiento dentro del marco de las lineas de defensa.</v>
      </c>
      <c r="I51" s="135">
        <f t="shared" si="1"/>
        <v>1</v>
      </c>
      <c r="J51" s="269"/>
    </row>
    <row r="52" spans="1:10" ht="42" thickBot="1" x14ac:dyDescent="0.35">
      <c r="A52" s="1"/>
      <c r="B52" s="1"/>
      <c r="C52" s="129">
        <v>34</v>
      </c>
      <c r="D52" s="279"/>
      <c r="E52" s="121" t="str">
        <f>+IFERROR(INDEX(Hoja1!$E$2:$E$45,MATCH('Análisis Resultados'!C52,Hoja1!$H$2:$H$45,0)),"")</f>
        <v>Si su capacidad e infraestructura lo permite, tecnologías de la información y las comunicaciones que soporten estos procesos</v>
      </c>
      <c r="F52" s="122" t="str">
        <f>+IFERROR(VLOOKUP(C52,Hoja1!$H$2:$I$45,2,0),"")</f>
        <v>Si</v>
      </c>
      <c r="G52" s="128" t="str">
        <f t="shared" si="0"/>
        <v>Existe requerimiento pero se requiere actividades  dirigidas a su mantenimiento dentro del marco de las lineas de defensa.</v>
      </c>
      <c r="I52" s="136">
        <f t="shared" si="1"/>
        <v>1</v>
      </c>
      <c r="J52" s="269"/>
    </row>
    <row r="53" spans="1:10" ht="41.25" customHeight="1" x14ac:dyDescent="0.3">
      <c r="A53" s="1"/>
      <c r="B53" s="1"/>
      <c r="C53" s="129">
        <v>35</v>
      </c>
      <c r="D53" s="273" t="s">
        <v>97</v>
      </c>
      <c r="E53" s="112" t="str">
        <f>+IFERROR(INDEX(Hoja1!$E$2:$E$45,MATCH('Análisis Resultados'!C53,Hoja1!$H$2:$H$45,0)),"")</f>
        <v>Mecanismos de evaluación de la gestión (cronogramas, indicadores, listas de chequeo u otros)</v>
      </c>
      <c r="F53" s="113" t="str">
        <f>+IFERROR(VLOOKUP(C53,Hoja1!$H$2:$I$45,2,0),"")</f>
        <v>En proceso</v>
      </c>
      <c r="G53" s="114" t="str">
        <f t="shared" si="0"/>
        <v>Se encuentra en proceso, pero requiere continuar con acciones dirigidas a contar con dicho aspecto de control.</v>
      </c>
      <c r="I53" s="130">
        <f t="shared" si="1"/>
        <v>0.5</v>
      </c>
      <c r="J53" s="276">
        <f>+AVERAGE(I53:I62)</f>
        <v>0.6</v>
      </c>
    </row>
    <row r="54" spans="1:10" ht="58.5" customHeight="1" x14ac:dyDescent="0.3">
      <c r="A54" s="1"/>
      <c r="B54" s="1"/>
      <c r="C54" s="129">
        <v>36</v>
      </c>
      <c r="D54" s="274"/>
      <c r="E54" s="115" t="str">
        <f>+IFERROR(INDEX(Hoja1!$E$2:$E$45,MATCH('Análisis Resultados'!C54,Hoja1!$H$2:$H$45,0)),"")</f>
        <v>Medidas correctivas en caso de detectarse deficiencias en los ejercicios de evaluación, seguimiento o auditoría</v>
      </c>
      <c r="F54" s="116" t="str">
        <f>+IFERROR(VLOOKUP(C54,Hoja1!$H$2:$I$45,2,0),"")</f>
        <v>En proceso</v>
      </c>
      <c r="G54" s="117" t="str">
        <f t="shared" si="0"/>
        <v>Se encuentra en proceso, pero requiere continuar con acciones dirigidas a contar con dicho aspecto de control.</v>
      </c>
      <c r="I54" s="131">
        <f t="shared" si="1"/>
        <v>0.5</v>
      </c>
      <c r="J54" s="277"/>
    </row>
    <row r="55" spans="1:10" s="1" customFormat="1" ht="84.75" customHeight="1" x14ac:dyDescent="0.3">
      <c r="C55" s="129">
        <v>37</v>
      </c>
      <c r="D55" s="274"/>
      <c r="E55" s="115" t="str">
        <f>+IFERROR(INDEX(Hoja1!$E$2:$E$45,MATCH('Análisis Resultados'!C55,Hoja1!$H$2:$H$45,0)),"")</f>
        <v>Seguimiento a los planes de mejoramiento suscritos con instancias de control internas o externas</v>
      </c>
      <c r="F55" s="116" t="str">
        <f>+IFERROR(VLOOKUP(C55,Hoja1!$H$2:$I$45,2,0),"")</f>
        <v>En proceso</v>
      </c>
      <c r="G55" s="117" t="str">
        <f t="shared" si="0"/>
        <v>Se encuentra en proceso, pero requiere continuar con acciones dirigidas a contar con dicho aspecto de control.</v>
      </c>
      <c r="I55" s="131">
        <f t="shared" si="1"/>
        <v>0.5</v>
      </c>
      <c r="J55" s="277"/>
    </row>
    <row r="56" spans="1:10" s="1" customFormat="1" ht="78.75" customHeight="1" x14ac:dyDescent="0.3">
      <c r="C56" s="129">
        <v>38</v>
      </c>
      <c r="D56" s="274"/>
      <c r="E56" s="115" t="str">
        <f>+IFERROR(INDEX(Hoja1!$E$2:$E$45,MATCH('Análisis Resultados'!C56,Hoja1!$H$2:$H$45,0)),"")</f>
        <v>Evitar que los problemas (riesgos) obstaculicen el cumplimiento de los objetivos.</v>
      </c>
      <c r="F56" s="116" t="str">
        <f>+IFERROR(VLOOKUP(C56,Hoja1!$H$2:$I$45,2,0),"")</f>
        <v>En proceso</v>
      </c>
      <c r="G56" s="117" t="str">
        <f t="shared" si="0"/>
        <v>Se encuentra en proceso, pero requiere continuar con acciones dirigidas a contar con dicho aspecto de control.</v>
      </c>
      <c r="I56" s="131">
        <f t="shared" si="1"/>
        <v>0.5</v>
      </c>
      <c r="J56" s="277"/>
    </row>
    <row r="57" spans="1:10" s="1" customFormat="1" ht="54.75" customHeight="1" x14ac:dyDescent="0.3">
      <c r="C57" s="129">
        <v>39</v>
      </c>
      <c r="D57" s="274"/>
      <c r="E57" s="115" t="str">
        <f>+IFERROR(INDEX(Hoja1!$E$2:$E$45,MATCH('Análisis Resultados'!C57,Hoja1!$H$2:$H$45,0)),"")</f>
        <v>Controlar los puntos críticos en los procesos.</v>
      </c>
      <c r="F57" s="116" t="str">
        <f>+IFERROR(VLOOKUP(C57,Hoja1!$H$2:$I$45,2,0),"")</f>
        <v>En proceso</v>
      </c>
      <c r="G57" s="117" t="str">
        <f t="shared" si="0"/>
        <v>Se encuentra en proceso, pero requiere continuar con acciones dirigidas a contar con dicho aspecto de control.</v>
      </c>
      <c r="I57" s="131">
        <f t="shared" si="1"/>
        <v>0.5</v>
      </c>
      <c r="J57" s="277"/>
    </row>
    <row r="58" spans="1:10" s="1" customFormat="1" ht="68.25" customHeight="1" x14ac:dyDescent="0.3">
      <c r="C58" s="129">
        <v>40</v>
      </c>
      <c r="D58" s="274"/>
      <c r="E58" s="115" t="str">
        <f>+IFERROR(INDEX(Hoja1!$E$2:$E$45,MATCH('Análisis Resultados'!C58,Hoja1!$H$2:$H$45,0)),"")</f>
        <v>Diseñar acciones adecuadas para controlar los problemas que afectan el cumplimiento de las metas y objetivos institucionales (riesgos).</v>
      </c>
      <c r="F58" s="116" t="str">
        <f>+IFERROR(VLOOKUP(C58,Hoja1!$H$2:$I$45,2,0),"")</f>
        <v>En proceso</v>
      </c>
      <c r="G58" s="117" t="str">
        <f t="shared" si="0"/>
        <v>Se encuentra en proceso, pero requiere continuar con acciones dirigidas a contar con dicho aspecto de control.</v>
      </c>
      <c r="I58" s="131">
        <f t="shared" si="1"/>
        <v>0.5</v>
      </c>
      <c r="J58" s="277"/>
    </row>
    <row r="59" spans="1:10" s="1" customFormat="1" ht="45" customHeight="1" x14ac:dyDescent="0.3">
      <c r="C59" s="129">
        <v>41</v>
      </c>
      <c r="D59" s="274"/>
      <c r="E59" s="115" t="str">
        <f>+IFERROR(INDEX(Hoja1!$E$2:$E$45,MATCH('Análisis Resultados'!C59,Hoja1!$H$2:$H$45,0)),"")</f>
        <v>Ejecutar las acciones de acuerdo a como se diseñaron previamente.</v>
      </c>
      <c r="F59" s="116" t="str">
        <f>+IFERROR(VLOOKUP(C59,Hoja1!$H$2:$I$45,2,0),"")</f>
        <v>En proceso</v>
      </c>
      <c r="G59" s="117" t="str">
        <f t="shared" si="0"/>
        <v>Se encuentra en proceso, pero requiere continuar con acciones dirigidas a contar con dicho aspecto de control.</v>
      </c>
      <c r="I59" s="131">
        <f t="shared" si="1"/>
        <v>0.5</v>
      </c>
      <c r="J59" s="277"/>
    </row>
    <row r="60" spans="1:10" s="1" customFormat="1" ht="51.75" customHeight="1" x14ac:dyDescent="0.3">
      <c r="C60" s="129">
        <v>42</v>
      </c>
      <c r="D60" s="274"/>
      <c r="E60" s="115" t="str">
        <f>+IFERROR(INDEX(Hoja1!$E$2:$E$45,MATCH('Análisis Resultados'!C60,Hoja1!$H$2:$H$45,0)),"")</f>
        <v>No se gestionan los problemas que afectan el cumplimiento de las funciones y objetivos institucionales(riesgos).</v>
      </c>
      <c r="F60" s="116" t="str">
        <f>+IFERROR(VLOOKUP(C60,Hoja1!$H$2:$I$45,2,0),"")</f>
        <v>En proceso</v>
      </c>
      <c r="G60" s="117" t="str">
        <f t="shared" si="0"/>
        <v>Se encuentra en proceso, pero requiere continuar con acciones dirigidas a contar con dicho aspecto de control.</v>
      </c>
      <c r="I60" s="131">
        <f t="shared" si="1"/>
        <v>0.5</v>
      </c>
      <c r="J60" s="277"/>
    </row>
    <row r="61" spans="1:10" s="1" customFormat="1" ht="84" customHeight="1" x14ac:dyDescent="0.3">
      <c r="C61" s="129">
        <v>43</v>
      </c>
      <c r="D61" s="274"/>
      <c r="E61" s="115" t="str">
        <f>+IFERROR(INDEX(Hoja1!$E$2:$E$45,MATCH('Análisis Resultados'!C61,Hoja1!$H$2:$H$45,0)),"")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61" s="116" t="str">
        <f>+IFERROR(VLOOKUP(C61,Hoja1!$H$2:$I$45,2,0),"")</f>
        <v>Si</v>
      </c>
      <c r="G61" s="117" t="str">
        <f t="shared" si="0"/>
        <v>Existe requerimiento pero se requiere actividades  dirigidas a su mantenimiento dentro del marco de las lineas de defensa.</v>
      </c>
      <c r="I61" s="131">
        <f t="shared" si="1"/>
        <v>1</v>
      </c>
      <c r="J61" s="277"/>
    </row>
    <row r="62" spans="1:10" s="1" customFormat="1" ht="60" customHeight="1" thickBot="1" x14ac:dyDescent="0.35">
      <c r="C62" s="129">
        <v>44</v>
      </c>
      <c r="D62" s="275"/>
      <c r="E62" s="118" t="str">
        <f>+IFERROR(INDEX(Hoja1!$E$2:$E$45,MATCH('Análisis Resultados'!C62,Hoja1!$H$2:$H$45,0)),"")</f>
        <v>La entidad participa en el  Comité Municipal de Auditoría?</v>
      </c>
      <c r="F62" s="119" t="str">
        <f>+IFERROR(VLOOKUP(C62,Hoja1!$H$2:$I$45,2,0),"")</f>
        <v>Si</v>
      </c>
      <c r="G62" s="120" t="str">
        <f t="shared" si="0"/>
        <v>Existe requerimiento pero se requiere actividades  dirigidas a su mantenimiento dentro del marco de las lineas de defensa.</v>
      </c>
      <c r="I62" s="132">
        <f t="shared" si="1"/>
        <v>1</v>
      </c>
      <c r="J62" s="278"/>
    </row>
    <row r="63" spans="1:10" s="1" customFormat="1" x14ac:dyDescent="0.3"/>
    <row r="64" spans="1:10" s="1" customFormat="1" x14ac:dyDescent="0.3"/>
    <row r="65" spans="1:2" s="1" customFormat="1" x14ac:dyDescent="0.3"/>
    <row r="66" spans="1:2" s="1" customFormat="1" x14ac:dyDescent="0.3"/>
    <row r="67" spans="1:2" s="1" customFormat="1" x14ac:dyDescent="0.3"/>
    <row r="68" spans="1:2" s="1" customFormat="1" x14ac:dyDescent="0.3"/>
    <row r="69" spans="1:2" s="1" customFormat="1" x14ac:dyDescent="0.3"/>
    <row r="70" spans="1:2" s="1" customFormat="1" x14ac:dyDescent="0.3"/>
    <row r="71" spans="1:2" x14ac:dyDescent="0.3">
      <c r="A71" s="1"/>
      <c r="B71" s="1"/>
    </row>
    <row r="72" spans="1:2" x14ac:dyDescent="0.3">
      <c r="A72" s="1"/>
      <c r="B72" s="1"/>
    </row>
    <row r="73" spans="1:2" x14ac:dyDescent="0.3">
      <c r="A73" s="1"/>
      <c r="B73" s="1"/>
    </row>
    <row r="74" spans="1:2" x14ac:dyDescent="0.3">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J31:J40"/>
    <mergeCell ref="C12:D12"/>
    <mergeCell ref="E12:F12"/>
    <mergeCell ref="J19:J30"/>
    <mergeCell ref="D53:D62"/>
    <mergeCell ref="J53:J62"/>
    <mergeCell ref="D46:D52"/>
    <mergeCell ref="J46:J52"/>
    <mergeCell ref="D41:D45"/>
    <mergeCell ref="J41:J45"/>
    <mergeCell ref="D31:D40"/>
    <mergeCell ref="C11:D11"/>
    <mergeCell ref="E11:F11"/>
    <mergeCell ref="J17:J18"/>
    <mergeCell ref="D19:D30"/>
    <mergeCell ref="C17:C18"/>
    <mergeCell ref="D17:E17"/>
    <mergeCell ref="F17:F18"/>
    <mergeCell ref="G17:G18"/>
    <mergeCell ref="I17:I18"/>
    <mergeCell ref="C7:K7"/>
    <mergeCell ref="C9:D9"/>
    <mergeCell ref="E9:F9"/>
    <mergeCell ref="C10:D10"/>
    <mergeCell ref="E10:F1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1"/>
  <sheetViews>
    <sheetView tabSelected="1" topLeftCell="A37" zoomScale="64" zoomScaleNormal="64" workbookViewId="0">
      <selection activeCell="I34" sqref="I34:M34"/>
    </sheetView>
  </sheetViews>
  <sheetFormatPr baseColWidth="10" defaultColWidth="11.44140625" defaultRowHeight="14.4" x14ac:dyDescent="0.3"/>
  <cols>
    <col min="1" max="1" width="4.44140625" customWidth="1"/>
    <col min="3" max="3" width="35.5546875" customWidth="1"/>
    <col min="4" max="4" width="13" customWidth="1"/>
    <col min="5" max="5" width="43.33203125" customWidth="1"/>
    <col min="7" max="7" width="33.88671875" customWidth="1"/>
    <col min="9" max="9" width="92.33203125" customWidth="1"/>
    <col min="13" max="13" width="29" customWidth="1"/>
  </cols>
  <sheetData>
    <row r="1" spans="1:17" s="1" customFormat="1" x14ac:dyDescent="0.3"/>
    <row r="2" spans="1:17" ht="15" thickBot="1" x14ac:dyDescent="0.35">
      <c r="A2" s="1"/>
      <c r="B2" s="1"/>
      <c r="C2" s="1"/>
      <c r="D2" s="1"/>
      <c r="E2" s="1"/>
      <c r="F2" s="1"/>
      <c r="G2" s="1"/>
      <c r="H2" s="1"/>
      <c r="I2" s="1"/>
      <c r="J2" s="1"/>
      <c r="K2" s="1"/>
      <c r="L2" s="1"/>
      <c r="M2" s="1"/>
      <c r="N2" s="1"/>
      <c r="O2" s="1"/>
      <c r="P2" s="1"/>
      <c r="Q2" s="1"/>
    </row>
    <row r="3" spans="1:17" ht="15" thickTop="1" x14ac:dyDescent="0.3">
      <c r="A3" s="1"/>
      <c r="B3" s="2"/>
      <c r="C3" s="3"/>
      <c r="D3" s="3"/>
      <c r="E3" s="3"/>
      <c r="F3" s="3"/>
      <c r="G3" s="3"/>
      <c r="H3" s="3"/>
      <c r="I3" s="3"/>
      <c r="J3" s="3"/>
      <c r="K3" s="3"/>
      <c r="L3" s="3"/>
      <c r="M3" s="3"/>
      <c r="N3" s="3"/>
      <c r="O3" s="3"/>
      <c r="P3" s="4"/>
      <c r="Q3" s="1"/>
    </row>
    <row r="4" spans="1:17" x14ac:dyDescent="0.3">
      <c r="A4" s="1"/>
      <c r="B4" s="5"/>
      <c r="C4" s="1"/>
      <c r="D4" s="1"/>
      <c r="E4" s="296" t="s">
        <v>124</v>
      </c>
      <c r="F4" s="298" t="s">
        <v>216</v>
      </c>
      <c r="G4" s="298"/>
      <c r="H4" s="298"/>
      <c r="I4" s="298"/>
      <c r="J4" s="298"/>
      <c r="K4" s="298"/>
      <c r="L4" s="298"/>
      <c r="M4" s="298"/>
      <c r="N4" s="6"/>
      <c r="O4" s="6"/>
      <c r="P4" s="7"/>
      <c r="Q4" s="1"/>
    </row>
    <row r="5" spans="1:17" ht="45.75" customHeight="1" x14ac:dyDescent="0.3">
      <c r="A5" s="1"/>
      <c r="B5" s="5"/>
      <c r="C5" s="1"/>
      <c r="D5" s="1"/>
      <c r="E5" s="297"/>
      <c r="F5" s="298"/>
      <c r="G5" s="298"/>
      <c r="H5" s="298"/>
      <c r="I5" s="298"/>
      <c r="J5" s="298"/>
      <c r="K5" s="298"/>
      <c r="L5" s="298"/>
      <c r="M5" s="298"/>
      <c r="N5" s="6"/>
      <c r="O5" s="6"/>
      <c r="P5" s="7"/>
      <c r="Q5" s="1"/>
    </row>
    <row r="6" spans="1:17" ht="66.75" customHeight="1" x14ac:dyDescent="0.3">
      <c r="A6" s="1"/>
      <c r="B6" s="5"/>
      <c r="C6" s="1"/>
      <c r="D6" s="1"/>
      <c r="E6" s="88" t="s">
        <v>125</v>
      </c>
      <c r="F6" s="299" t="s">
        <v>217</v>
      </c>
      <c r="G6" s="300"/>
      <c r="H6" s="300"/>
      <c r="I6" s="300"/>
      <c r="J6" s="300"/>
      <c r="K6" s="300"/>
      <c r="L6" s="300"/>
      <c r="M6" s="301"/>
      <c r="N6" s="8"/>
      <c r="O6" s="8"/>
      <c r="P6" s="7"/>
      <c r="Q6" s="1"/>
    </row>
    <row r="7" spans="1:17" ht="15" thickBot="1" x14ac:dyDescent="0.35">
      <c r="A7" s="1"/>
      <c r="B7" s="5"/>
      <c r="C7" s="1"/>
      <c r="D7" s="1"/>
      <c r="E7" s="9"/>
      <c r="F7" s="8"/>
      <c r="G7" s="8"/>
      <c r="H7" s="8"/>
      <c r="I7" s="8"/>
      <c r="J7" s="8"/>
      <c r="K7" s="8"/>
      <c r="L7" s="8"/>
      <c r="M7" s="1"/>
      <c r="N7" s="1"/>
      <c r="O7" s="1"/>
      <c r="P7" s="7"/>
      <c r="Q7" s="1"/>
    </row>
    <row r="8" spans="1:17" ht="97.5" customHeight="1" thickBot="1" x14ac:dyDescent="0.35">
      <c r="A8" s="1"/>
      <c r="B8" s="5"/>
      <c r="C8" s="1"/>
      <c r="D8" s="1"/>
      <c r="E8" s="1"/>
      <c r="F8" s="1"/>
      <c r="G8" s="1"/>
      <c r="H8" s="1"/>
      <c r="I8" s="302" t="s">
        <v>126</v>
      </c>
      <c r="J8" s="303"/>
      <c r="K8" s="304"/>
      <c r="L8" s="1"/>
      <c r="M8" s="137">
        <f>+AVERAGE(G26,G28,G30,G32,G34)</f>
        <v>0.68071428571428583</v>
      </c>
      <c r="N8" s="10"/>
      <c r="O8" s="10"/>
      <c r="P8" s="7"/>
      <c r="Q8" s="1"/>
    </row>
    <row r="9" spans="1:17" ht="15.6" x14ac:dyDescent="0.3">
      <c r="A9" s="1"/>
      <c r="B9" s="5"/>
      <c r="C9" s="1"/>
      <c r="D9" s="1"/>
      <c r="E9" s="1"/>
      <c r="F9" s="1"/>
      <c r="G9" s="1"/>
      <c r="H9" s="1"/>
      <c r="I9" s="1"/>
      <c r="J9" s="1"/>
      <c r="K9" s="1"/>
      <c r="L9" s="1"/>
      <c r="M9" s="11"/>
      <c r="N9" s="11"/>
      <c r="O9" s="11"/>
      <c r="P9" s="7"/>
      <c r="Q9" s="1"/>
    </row>
    <row r="10" spans="1:17" x14ac:dyDescent="0.3">
      <c r="A10" s="1"/>
      <c r="B10" s="5"/>
      <c r="C10" s="1"/>
      <c r="D10" s="1"/>
      <c r="E10" s="1"/>
      <c r="F10" s="1"/>
      <c r="G10" s="1"/>
      <c r="H10" s="1"/>
      <c r="I10" s="1"/>
      <c r="J10" s="1"/>
      <c r="K10" s="1"/>
      <c r="L10" s="1"/>
      <c r="M10" s="1"/>
      <c r="N10" s="1"/>
      <c r="O10" s="1"/>
      <c r="P10" s="7"/>
      <c r="Q10" s="1"/>
    </row>
    <row r="11" spans="1:17" x14ac:dyDescent="0.3">
      <c r="A11" s="1"/>
      <c r="B11" s="5"/>
      <c r="C11" s="1"/>
      <c r="D11" s="1"/>
      <c r="E11" s="1"/>
      <c r="F11" s="1"/>
      <c r="G11" s="1"/>
      <c r="H11" s="1"/>
      <c r="I11" s="1"/>
      <c r="J11" s="1"/>
      <c r="K11" s="1"/>
      <c r="L11" s="1"/>
      <c r="M11" s="1"/>
      <c r="N11" s="1"/>
      <c r="O11" s="1"/>
      <c r="P11" s="7"/>
      <c r="Q11" s="1"/>
    </row>
    <row r="12" spans="1:17" x14ac:dyDescent="0.3">
      <c r="A12" s="1"/>
      <c r="B12" s="5"/>
      <c r="C12" s="1"/>
      <c r="D12" s="1"/>
      <c r="E12" s="1"/>
      <c r="F12" s="1"/>
      <c r="G12" s="1"/>
      <c r="H12" s="1"/>
      <c r="I12" s="1"/>
      <c r="J12" s="1"/>
      <c r="K12" s="1"/>
      <c r="L12" s="1"/>
      <c r="M12" s="1"/>
      <c r="N12" s="1"/>
      <c r="O12" s="1"/>
      <c r="P12" s="7"/>
      <c r="Q12" s="1"/>
    </row>
    <row r="13" spans="1:17" x14ac:dyDescent="0.3">
      <c r="A13" s="1"/>
      <c r="B13" s="5"/>
      <c r="C13" s="1"/>
      <c r="D13" s="1"/>
      <c r="E13" s="1"/>
      <c r="F13" s="1"/>
      <c r="G13" s="1"/>
      <c r="H13" s="1"/>
      <c r="I13" s="1"/>
      <c r="J13" s="1"/>
      <c r="K13" s="1"/>
      <c r="L13" s="1"/>
      <c r="M13" s="1"/>
      <c r="N13" s="1"/>
      <c r="O13" s="1"/>
      <c r="P13" s="7"/>
      <c r="Q13" s="1"/>
    </row>
    <row r="14" spans="1:17" x14ac:dyDescent="0.3">
      <c r="A14" s="1"/>
      <c r="B14" s="5"/>
      <c r="C14" s="1"/>
      <c r="D14" s="1"/>
      <c r="E14" s="1"/>
      <c r="F14" s="1"/>
      <c r="G14" s="1"/>
      <c r="H14" s="1"/>
      <c r="I14" s="1"/>
      <c r="J14" s="1"/>
      <c r="K14" s="1"/>
      <c r="L14" s="1"/>
      <c r="M14" s="1"/>
      <c r="N14" s="1"/>
      <c r="O14" s="1"/>
      <c r="P14" s="7"/>
      <c r="Q14" s="1"/>
    </row>
    <row r="15" spans="1:17" x14ac:dyDescent="0.3">
      <c r="A15" s="1"/>
      <c r="B15" s="5"/>
      <c r="C15" s="1"/>
      <c r="D15" s="1"/>
      <c r="E15" s="1"/>
      <c r="F15" s="1"/>
      <c r="G15" s="1"/>
      <c r="H15" s="1"/>
      <c r="I15" s="1"/>
      <c r="J15" s="1"/>
      <c r="K15" s="1"/>
      <c r="L15" s="1"/>
      <c r="M15" s="1"/>
      <c r="N15" s="1"/>
      <c r="O15" s="1"/>
      <c r="P15" s="7"/>
      <c r="Q15" s="1"/>
    </row>
    <row r="16" spans="1:17" x14ac:dyDescent="0.3">
      <c r="A16" s="1"/>
      <c r="B16" s="5"/>
      <c r="C16" s="1"/>
      <c r="D16" s="1"/>
      <c r="E16" s="1"/>
      <c r="F16" s="1"/>
      <c r="G16" s="1"/>
      <c r="H16" s="1"/>
      <c r="I16" s="1"/>
      <c r="J16" s="1"/>
      <c r="K16" s="1"/>
      <c r="L16" s="1"/>
      <c r="M16" s="1"/>
      <c r="N16" s="1"/>
      <c r="O16" s="1"/>
      <c r="P16" s="7"/>
      <c r="Q16" s="1"/>
    </row>
    <row r="17" spans="1:17" x14ac:dyDescent="0.3">
      <c r="A17" s="1"/>
      <c r="B17" s="5"/>
      <c r="C17" s="1"/>
      <c r="D17" s="1"/>
      <c r="E17" s="1"/>
      <c r="F17" s="1"/>
      <c r="G17" s="1"/>
      <c r="H17" s="1"/>
      <c r="I17" s="1"/>
      <c r="J17" s="1"/>
      <c r="K17" s="1"/>
      <c r="L17" s="1"/>
      <c r="M17" s="1"/>
      <c r="N17" s="1"/>
      <c r="O17" s="1"/>
      <c r="P17" s="7"/>
      <c r="Q17" s="1"/>
    </row>
    <row r="18" spans="1:17" ht="22.8" x14ac:dyDescent="0.3">
      <c r="A18" s="1"/>
      <c r="B18" s="5"/>
      <c r="C18" s="305" t="s">
        <v>127</v>
      </c>
      <c r="D18" s="306"/>
      <c r="E18" s="306"/>
      <c r="F18" s="306"/>
      <c r="G18" s="306"/>
      <c r="H18" s="306"/>
      <c r="I18" s="306"/>
      <c r="J18" s="306"/>
      <c r="K18" s="306"/>
      <c r="L18" s="306"/>
      <c r="M18" s="307"/>
      <c r="N18" s="12"/>
      <c r="O18" s="12"/>
      <c r="P18" s="7"/>
      <c r="Q18" s="1"/>
    </row>
    <row r="19" spans="1:17" ht="16.2" thickBot="1" x14ac:dyDescent="0.35">
      <c r="A19" s="1"/>
      <c r="B19" s="5"/>
      <c r="C19" s="13"/>
      <c r="D19" s="13"/>
      <c r="E19" s="13"/>
      <c r="F19" s="13"/>
      <c r="G19" s="13"/>
      <c r="H19" s="13"/>
      <c r="I19" s="13"/>
      <c r="J19" s="13"/>
      <c r="K19" s="13"/>
      <c r="L19" s="13"/>
      <c r="M19" s="13"/>
      <c r="N19" s="14"/>
      <c r="O19" s="14"/>
      <c r="P19" s="7"/>
      <c r="Q19" s="1"/>
    </row>
    <row r="20" spans="1:17" ht="150" customHeight="1" x14ac:dyDescent="0.3">
      <c r="A20" s="1"/>
      <c r="B20" s="5"/>
      <c r="C20" s="308" t="s">
        <v>128</v>
      </c>
      <c r="D20" s="309"/>
      <c r="E20" s="140" t="s">
        <v>76</v>
      </c>
      <c r="F20" s="310" t="s">
        <v>223</v>
      </c>
      <c r="G20" s="310"/>
      <c r="H20" s="310"/>
      <c r="I20" s="310"/>
      <c r="J20" s="310"/>
      <c r="K20" s="310"/>
      <c r="L20" s="310"/>
      <c r="M20" s="311"/>
      <c r="N20" s="14"/>
      <c r="O20" s="14"/>
      <c r="P20" s="7"/>
      <c r="Q20" s="1"/>
    </row>
    <row r="21" spans="1:17" ht="126.75" customHeight="1" x14ac:dyDescent="0.3">
      <c r="A21" s="1"/>
      <c r="B21" s="5"/>
      <c r="C21" s="292" t="s">
        <v>129</v>
      </c>
      <c r="D21" s="293"/>
      <c r="E21" s="141" t="s">
        <v>39</v>
      </c>
      <c r="F21" s="312" t="s">
        <v>222</v>
      </c>
      <c r="G21" s="312"/>
      <c r="H21" s="312"/>
      <c r="I21" s="312"/>
      <c r="J21" s="312"/>
      <c r="K21" s="312"/>
      <c r="L21" s="312"/>
      <c r="M21" s="313"/>
      <c r="N21" s="14"/>
      <c r="O21" s="14"/>
      <c r="P21" s="7"/>
      <c r="Q21" s="1"/>
    </row>
    <row r="22" spans="1:17" ht="151.5" customHeight="1" thickBot="1" x14ac:dyDescent="0.35">
      <c r="A22" s="1"/>
      <c r="B22" s="5"/>
      <c r="C22" s="294" t="s">
        <v>130</v>
      </c>
      <c r="D22" s="295"/>
      <c r="E22" s="142" t="s">
        <v>39</v>
      </c>
      <c r="F22" s="314" t="s">
        <v>218</v>
      </c>
      <c r="G22" s="314"/>
      <c r="H22" s="314"/>
      <c r="I22" s="314"/>
      <c r="J22" s="314"/>
      <c r="K22" s="314"/>
      <c r="L22" s="314"/>
      <c r="M22" s="315"/>
      <c r="N22" s="14"/>
      <c r="O22" s="14"/>
      <c r="P22" s="7"/>
      <c r="Q22" s="1"/>
    </row>
    <row r="23" spans="1:17" x14ac:dyDescent="0.3">
      <c r="A23" s="1"/>
      <c r="B23" s="5"/>
      <c r="C23" s="1"/>
      <c r="D23" s="1"/>
      <c r="E23" s="1"/>
      <c r="F23" s="1"/>
      <c r="G23" s="15"/>
      <c r="H23" s="1"/>
      <c r="I23" s="1"/>
      <c r="J23" s="1"/>
      <c r="K23" s="1"/>
      <c r="L23" s="1"/>
      <c r="M23" s="1"/>
      <c r="N23" s="1"/>
      <c r="O23" s="1"/>
      <c r="P23" s="7"/>
      <c r="Q23" s="1"/>
    </row>
    <row r="24" spans="1:17" ht="73.8" x14ac:dyDescent="0.3">
      <c r="A24" s="1"/>
      <c r="B24" s="5"/>
      <c r="C24" s="91" t="s">
        <v>131</v>
      </c>
      <c r="D24" s="92"/>
      <c r="E24" s="91" t="s">
        <v>132</v>
      </c>
      <c r="F24" s="92"/>
      <c r="G24" s="91" t="s">
        <v>133</v>
      </c>
      <c r="H24" s="92"/>
      <c r="I24" s="289" t="s">
        <v>134</v>
      </c>
      <c r="J24" s="289"/>
      <c r="K24" s="289"/>
      <c r="L24" s="289"/>
      <c r="M24" s="289"/>
      <c r="N24" s="30"/>
      <c r="O24" s="30"/>
      <c r="P24" s="7"/>
      <c r="Q24" s="16"/>
    </row>
    <row r="25" spans="1:17" ht="13.5" customHeight="1" thickBot="1" x14ac:dyDescent="0.35">
      <c r="A25" s="1"/>
      <c r="B25" s="5"/>
      <c r="C25" s="29"/>
      <c r="I25" s="290"/>
      <c r="J25" s="290"/>
      <c r="K25" s="290"/>
      <c r="L25" s="290"/>
      <c r="M25" s="290"/>
      <c r="N25" s="31"/>
      <c r="O25" s="31"/>
      <c r="P25" s="7"/>
      <c r="Q25" s="1"/>
    </row>
    <row r="26" spans="1:17" ht="155.25" customHeight="1" thickBot="1" x14ac:dyDescent="0.35">
      <c r="A26" s="1"/>
      <c r="B26" s="5"/>
      <c r="C26" s="82" t="s">
        <v>32</v>
      </c>
      <c r="D26" s="17"/>
      <c r="E26" s="138" t="str">
        <f>+IF(Hoja1!K2&gt;=0.5,"Si","No")</f>
        <v>Si</v>
      </c>
      <c r="F26" s="18"/>
      <c r="G26" s="139">
        <f>+Hoja1!K2</f>
        <v>0.875</v>
      </c>
      <c r="H26" s="18"/>
      <c r="I26" s="286" t="s">
        <v>219</v>
      </c>
      <c r="J26" s="287"/>
      <c r="K26" s="287"/>
      <c r="L26" s="287"/>
      <c r="M26" s="288"/>
      <c r="N26" s="32"/>
      <c r="O26" s="33"/>
      <c r="P26" s="19"/>
      <c r="Q26" s="20"/>
    </row>
    <row r="27" spans="1:17" ht="26.4" thickBot="1" x14ac:dyDescent="0.55000000000000004">
      <c r="A27" s="1"/>
      <c r="B27" s="5"/>
      <c r="C27" s="83"/>
      <c r="E27" s="90"/>
      <c r="G27" s="21"/>
      <c r="I27" s="291"/>
      <c r="J27" s="291"/>
      <c r="K27" s="291"/>
      <c r="L27" s="291"/>
      <c r="M27" s="291"/>
      <c r="N27" s="34"/>
      <c r="O27" s="34"/>
      <c r="P27" s="7"/>
      <c r="Q27" s="1"/>
    </row>
    <row r="28" spans="1:17" ht="111.75" customHeight="1" thickBot="1" x14ac:dyDescent="0.35">
      <c r="A28" s="1"/>
      <c r="B28" s="5"/>
      <c r="C28" s="84" t="s">
        <v>135</v>
      </c>
      <c r="D28" s="17"/>
      <c r="E28" s="138" t="str">
        <f>+IF(Hoja1!K14&gt;=0.5,"Si","No")</f>
        <v>Si</v>
      </c>
      <c r="G28" s="139">
        <f>+Hoja1!K14</f>
        <v>0.5</v>
      </c>
      <c r="I28" s="286" t="s">
        <v>221</v>
      </c>
      <c r="J28" s="287"/>
      <c r="K28" s="287"/>
      <c r="L28" s="287"/>
      <c r="M28" s="288"/>
      <c r="N28" s="32"/>
      <c r="O28" s="32"/>
      <c r="P28" s="7"/>
      <c r="Q28" s="1"/>
    </row>
    <row r="29" spans="1:17" ht="26.4" thickBot="1" x14ac:dyDescent="0.55000000000000004">
      <c r="A29" s="1"/>
      <c r="B29" s="5"/>
      <c r="C29" s="83"/>
      <c r="E29" s="90"/>
      <c r="G29" s="21"/>
      <c r="I29" s="291"/>
      <c r="J29" s="291"/>
      <c r="K29" s="291"/>
      <c r="L29" s="291"/>
      <c r="M29" s="291"/>
      <c r="N29" s="34"/>
      <c r="O29" s="34"/>
      <c r="P29" s="7"/>
      <c r="Q29" s="1"/>
    </row>
    <row r="30" spans="1:17" ht="123" customHeight="1" thickBot="1" x14ac:dyDescent="0.35">
      <c r="A30" s="1"/>
      <c r="B30" s="5"/>
      <c r="C30" s="85" t="s">
        <v>136</v>
      </c>
      <c r="D30" s="17"/>
      <c r="E30" s="138" t="str">
        <f>+IF(Hoja1!K24&gt;=0.5,"Si","No")</f>
        <v>Si</v>
      </c>
      <c r="G30" s="139">
        <f>+Hoja1!K24</f>
        <v>0.5</v>
      </c>
      <c r="I30" s="286" t="s">
        <v>224</v>
      </c>
      <c r="J30" s="287"/>
      <c r="K30" s="287"/>
      <c r="L30" s="287"/>
      <c r="M30" s="288"/>
      <c r="N30" s="32"/>
      <c r="O30" s="32"/>
      <c r="P30" s="7"/>
      <c r="Q30" s="1"/>
    </row>
    <row r="31" spans="1:17" ht="26.4" thickBot="1" x14ac:dyDescent="0.55000000000000004">
      <c r="A31" s="1"/>
      <c r="B31" s="5"/>
      <c r="C31" s="83"/>
      <c r="E31" s="90"/>
      <c r="G31" s="21"/>
      <c r="I31" s="291"/>
      <c r="J31" s="291"/>
      <c r="K31" s="291"/>
      <c r="L31" s="291"/>
      <c r="M31" s="291"/>
      <c r="N31" s="34"/>
      <c r="O31" s="34"/>
      <c r="P31" s="7"/>
      <c r="Q31" s="1"/>
    </row>
    <row r="32" spans="1:17" ht="171" customHeight="1" thickBot="1" x14ac:dyDescent="0.35">
      <c r="A32" s="1"/>
      <c r="B32" s="5"/>
      <c r="C32" s="86" t="s">
        <v>87</v>
      </c>
      <c r="D32" s="17"/>
      <c r="E32" s="138" t="str">
        <f>+IF(Hoja1!K29&gt;=0.5,"Si","No")</f>
        <v>Si</v>
      </c>
      <c r="G32" s="139">
        <f>+Hoja1!K29</f>
        <v>0.9285714285714286</v>
      </c>
      <c r="I32" s="286" t="s">
        <v>227</v>
      </c>
      <c r="J32" s="287"/>
      <c r="K32" s="287"/>
      <c r="L32" s="287"/>
      <c r="M32" s="288"/>
      <c r="N32" s="32"/>
      <c r="O32" s="32"/>
      <c r="P32" s="7"/>
      <c r="Q32" s="1"/>
    </row>
    <row r="33" spans="1:17" ht="26.4" thickBot="1" x14ac:dyDescent="0.55000000000000004">
      <c r="A33" s="1"/>
      <c r="B33" s="5"/>
      <c r="C33" s="83"/>
      <c r="E33" s="90"/>
      <c r="G33" s="21"/>
      <c r="I33" s="291"/>
      <c r="J33" s="291"/>
      <c r="K33" s="291"/>
      <c r="L33" s="291"/>
      <c r="M33" s="291"/>
      <c r="N33" s="34"/>
      <c r="O33" s="34"/>
      <c r="P33" s="7"/>
      <c r="Q33" s="1"/>
    </row>
    <row r="34" spans="1:17" ht="164.25" customHeight="1" thickBot="1" x14ac:dyDescent="0.35">
      <c r="A34" s="1"/>
      <c r="B34" s="5"/>
      <c r="C34" s="87" t="s">
        <v>137</v>
      </c>
      <c r="D34" s="17"/>
      <c r="E34" s="89" t="str">
        <f>+IF(Hoja1!K36&gt;=0.5,"Si","No")</f>
        <v>Si</v>
      </c>
      <c r="G34" s="139">
        <f>+Hoja1!K36</f>
        <v>0.6</v>
      </c>
      <c r="I34" s="286" t="s">
        <v>231</v>
      </c>
      <c r="J34" s="287"/>
      <c r="K34" s="287"/>
      <c r="L34" s="287"/>
      <c r="M34" s="288"/>
      <c r="N34" s="32"/>
      <c r="O34" s="32"/>
      <c r="P34" s="7"/>
      <c r="Q34" s="1"/>
    </row>
    <row r="35" spans="1:17" ht="15.6" x14ac:dyDescent="0.3">
      <c r="A35" s="1"/>
      <c r="B35" s="5"/>
      <c r="C35" s="22"/>
      <c r="D35" s="22"/>
      <c r="E35" s="14"/>
      <c r="F35" s="1"/>
      <c r="G35" s="1"/>
      <c r="H35" s="1"/>
      <c r="I35" s="1"/>
      <c r="J35" s="1"/>
      <c r="K35" s="1"/>
      <c r="L35" s="1"/>
      <c r="M35" s="23"/>
      <c r="N35" s="23"/>
      <c r="O35" s="23"/>
      <c r="P35" s="7"/>
      <c r="Q35" s="1"/>
    </row>
    <row r="36" spans="1:17" ht="15.6" x14ac:dyDescent="0.3">
      <c r="A36" s="1"/>
      <c r="B36" s="5"/>
      <c r="C36" s="24"/>
      <c r="D36" s="22"/>
      <c r="E36" s="14"/>
      <c r="F36" s="1"/>
      <c r="G36" s="1"/>
      <c r="H36" s="1"/>
      <c r="I36" s="1"/>
      <c r="J36" s="1"/>
      <c r="K36" s="1"/>
      <c r="L36" s="1"/>
      <c r="M36" s="23"/>
      <c r="N36" s="23"/>
      <c r="O36" s="23"/>
      <c r="P36" s="7"/>
      <c r="Q36" s="1"/>
    </row>
    <row r="37" spans="1:17" x14ac:dyDescent="0.3">
      <c r="A37" s="1"/>
      <c r="B37" s="5"/>
      <c r="C37" s="25"/>
      <c r="D37" s="1"/>
      <c r="E37" s="1"/>
      <c r="F37" s="1"/>
      <c r="G37" s="1"/>
      <c r="H37" s="1"/>
      <c r="I37" s="1"/>
      <c r="J37" s="1"/>
      <c r="K37" s="1"/>
      <c r="L37" s="1"/>
      <c r="M37" s="1"/>
      <c r="N37" s="1"/>
      <c r="O37" s="1"/>
      <c r="P37" s="7"/>
      <c r="Q37" s="1"/>
    </row>
    <row r="38" spans="1:17" ht="15" thickBot="1" x14ac:dyDescent="0.35">
      <c r="A38" s="1"/>
      <c r="B38" s="26"/>
      <c r="C38" s="27"/>
      <c r="D38" s="27"/>
      <c r="E38" s="27"/>
      <c r="F38" s="27"/>
      <c r="G38" s="27"/>
      <c r="H38" s="27"/>
      <c r="I38" s="27"/>
      <c r="J38" s="27"/>
      <c r="K38" s="27"/>
      <c r="L38" s="27"/>
      <c r="M38" s="27"/>
      <c r="N38" s="27"/>
      <c r="O38" s="27"/>
      <c r="P38" s="28"/>
      <c r="Q38" s="1"/>
    </row>
    <row r="39" spans="1:17" ht="15" thickTop="1" x14ac:dyDescent="0.3">
      <c r="A39" s="1"/>
      <c r="B39" s="1"/>
      <c r="C39" s="1"/>
      <c r="D39" s="1"/>
      <c r="E39" s="1"/>
      <c r="F39" s="1"/>
      <c r="G39" s="1"/>
      <c r="H39" s="1"/>
      <c r="I39" s="1"/>
      <c r="J39" s="1"/>
      <c r="K39" s="1"/>
      <c r="L39" s="1"/>
      <c r="M39" s="1"/>
      <c r="N39" s="1"/>
      <c r="O39" s="1"/>
      <c r="P39" s="1"/>
      <c r="Q39" s="1"/>
    </row>
    <row r="40" spans="1:17" x14ac:dyDescent="0.3">
      <c r="A40" s="1"/>
      <c r="B40" s="1"/>
      <c r="C40" s="1"/>
      <c r="D40" s="1"/>
      <c r="E40" s="1"/>
      <c r="F40" s="1"/>
      <c r="G40" s="1"/>
      <c r="H40" s="1"/>
      <c r="I40" s="1"/>
      <c r="J40" s="1"/>
      <c r="K40" s="1"/>
      <c r="L40" s="1"/>
      <c r="M40" s="1"/>
      <c r="N40" s="1"/>
      <c r="O40" s="1"/>
      <c r="P40" s="1"/>
      <c r="Q40" s="1"/>
    </row>
    <row r="41" spans="1:17" x14ac:dyDescent="0.3">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C21:D21"/>
    <mergeCell ref="C22:D22"/>
    <mergeCell ref="E4:E5"/>
    <mergeCell ref="F4:M5"/>
    <mergeCell ref="F6:M6"/>
    <mergeCell ref="I8:K8"/>
    <mergeCell ref="C18:M18"/>
    <mergeCell ref="C20:D20"/>
    <mergeCell ref="F20:M20"/>
    <mergeCell ref="F21:M21"/>
    <mergeCell ref="F22:M22"/>
    <mergeCell ref="I34:M34"/>
    <mergeCell ref="I30:M30"/>
    <mergeCell ref="I32:M32"/>
    <mergeCell ref="I24:M24"/>
    <mergeCell ref="I26:M26"/>
    <mergeCell ref="I28:M28"/>
    <mergeCell ref="I25:M25"/>
    <mergeCell ref="I27:M27"/>
    <mergeCell ref="I29:M29"/>
    <mergeCell ref="I31:M31"/>
    <mergeCell ref="I33:M33"/>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xr:uid="{00000000-0002-0000-0300-000000000000}">
      <formula1>"Si, No"</formula1>
    </dataValidation>
    <dataValidation allowBlank="1" showInputMessage="1" showErrorMessage="1" prompt="Celda formulada, información proveniente de la pestaña de deficiencias." sqref="E24" xr:uid="{00000000-0002-0000-0300-000001000000}"/>
    <dataValidation type="list" allowBlank="1" showInputMessage="1" showErrorMessage="1" sqref="E20" xr:uid="{00000000-0002-0000-0300-000002000000}">
      <formula1>"Si,En proceso,No"</formula1>
    </dataValidation>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'C:\Users\dell\Desktop\cesar\HISTORICOS\[2020-04-22_Formato_informe_sci_parametrizado_final.xlsx]Analisis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5"/>
  <sheetViews>
    <sheetView workbookViewId="0">
      <selection activeCell="F2" sqref="F2"/>
    </sheetView>
  </sheetViews>
  <sheetFormatPr baseColWidth="10" defaultColWidth="11.44140625" defaultRowHeight="14.4" x14ac:dyDescent="0.3"/>
  <cols>
    <col min="2" max="2" width="31" bestFit="1" customWidth="1"/>
    <col min="3" max="3" width="17.109375" customWidth="1"/>
    <col min="5" max="5" width="15.109375" customWidth="1"/>
    <col min="10" max="10" width="15.6640625" customWidth="1"/>
    <col min="11" max="11" width="12" bestFit="1" customWidth="1"/>
  </cols>
  <sheetData>
    <row r="1" spans="1:11" ht="84.75" customHeight="1" x14ac:dyDescent="0.3">
      <c r="A1" s="143" t="s">
        <v>25</v>
      </c>
      <c r="B1" s="143" t="s">
        <v>6</v>
      </c>
      <c r="C1" s="144" t="s">
        <v>8</v>
      </c>
      <c r="D1" s="145" t="s">
        <v>26</v>
      </c>
      <c r="E1" s="145" t="s">
        <v>27</v>
      </c>
      <c r="F1" s="145" t="s">
        <v>138</v>
      </c>
      <c r="G1" s="146" t="s">
        <v>139</v>
      </c>
      <c r="H1" s="146" t="s">
        <v>140</v>
      </c>
      <c r="I1" s="146" t="s">
        <v>119</v>
      </c>
      <c r="J1" s="146" t="s">
        <v>141</v>
      </c>
      <c r="K1" s="146" t="s">
        <v>142</v>
      </c>
    </row>
    <row r="2" spans="1:11" x14ac:dyDescent="0.3">
      <c r="A2" s="147" t="s">
        <v>143</v>
      </c>
      <c r="B2" s="147" t="str">
        <f>+VLOOKUP(A2,'Estado SCI'!$A$16:$C$59,3,0)</f>
        <v>AMBIENTE DE CONTROL</v>
      </c>
      <c r="C2" s="147" t="s">
        <v>33</v>
      </c>
      <c r="D2" s="147" t="s">
        <v>34</v>
      </c>
      <c r="E2" s="147" t="s">
        <v>35</v>
      </c>
      <c r="F2" s="147" t="str">
        <f>+VLOOKUP(A2,'Estado SCI'!$A$16:$I$59,9,0)</f>
        <v>Mantenimiento del control</v>
      </c>
      <c r="G2" s="147">
        <f>+VLOOKUP(A2,'Estado SCI'!$A$16:$L$59,12,0)</f>
        <v>20.123000000000001</v>
      </c>
      <c r="H2" s="147">
        <f t="shared" ref="H2:H45" si="0">+_xlfn.RANK.EQ(G2,$G$2:$G$45,1)</f>
        <v>3</v>
      </c>
      <c r="I2" s="147" t="str">
        <f>+IF(VLOOKUP(A2,'Estado SCI'!$A$16:$G$59,7,0)="","",VLOOKUP(A2,'Estado SCI'!$A$16:$G$59,7,0))</f>
        <v>Si</v>
      </c>
      <c r="J2" s="148">
        <f>+IF(I2="Si",1,IF(I2="En proceso",0.5,0))</f>
        <v>1</v>
      </c>
      <c r="K2" s="149">
        <f t="shared" ref="K2:K45" si="1">+AVERAGEIF($B$2:$B$45,B2,$J$2:$J$45)</f>
        <v>0.875</v>
      </c>
    </row>
    <row r="3" spans="1:11" x14ac:dyDescent="0.3">
      <c r="A3" s="147" t="s">
        <v>144</v>
      </c>
      <c r="B3" s="147" t="s">
        <v>32</v>
      </c>
      <c r="C3" s="147" t="s">
        <v>33</v>
      </c>
      <c r="D3" s="147" t="s">
        <v>37</v>
      </c>
      <c r="E3" s="147" t="s">
        <v>38</v>
      </c>
      <c r="F3" s="147" t="str">
        <f>+VLOOKUP(A3,'Estado SCI'!$A$16:$I$59,9,0)</f>
        <v>Deficiencia de control</v>
      </c>
      <c r="G3" s="147">
        <f>+VLOOKUP(A3,'Estado SCI'!$A$16:$L$59,12,0)</f>
        <v>0.1234</v>
      </c>
      <c r="H3" s="147">
        <f t="shared" si="0"/>
        <v>1</v>
      </c>
      <c r="I3" s="147" t="str">
        <f>+IF(VLOOKUP(A3,'Estado SCI'!$A$16:$G$59,7,0)="","",VLOOKUP(A3,'Estado SCI'!$A$16:$G$59,7,0))</f>
        <v>No</v>
      </c>
      <c r="J3" s="148">
        <f t="shared" ref="J3:J45" si="2">+IF(I3="Si",1,IF(I3="En proceso",0.5,0))</f>
        <v>0</v>
      </c>
      <c r="K3" s="149">
        <f t="shared" si="1"/>
        <v>0.875</v>
      </c>
    </row>
    <row r="4" spans="1:11" x14ac:dyDescent="0.3">
      <c r="A4" s="147" t="s">
        <v>145</v>
      </c>
      <c r="B4" s="147" t="s">
        <v>32</v>
      </c>
      <c r="C4" s="147" t="s">
        <v>33</v>
      </c>
      <c r="D4" s="147" t="s">
        <v>40</v>
      </c>
      <c r="E4" s="147" t="s">
        <v>41</v>
      </c>
      <c r="F4" s="147" t="str">
        <f>+VLOOKUP(A4,'Estado SCI'!$A$16:$I$59,9,0)</f>
        <v>Mantenimiento del control</v>
      </c>
      <c r="G4" s="147">
        <f>+VLOOKUP(A4,'Estado SCI'!$A$16:$L$59,12,0)</f>
        <v>20.123449999999998</v>
      </c>
      <c r="H4" s="147">
        <f t="shared" si="0"/>
        <v>4</v>
      </c>
      <c r="I4" s="147" t="str">
        <f>+IF(VLOOKUP(A4,'Estado SCI'!$A$16:$G$59,7,0)="","",VLOOKUP(A4,'Estado SCI'!$A$16:$G$59,7,0))</f>
        <v>Si</v>
      </c>
      <c r="J4" s="148">
        <f t="shared" si="2"/>
        <v>1</v>
      </c>
      <c r="K4" s="149">
        <f t="shared" si="1"/>
        <v>0.875</v>
      </c>
    </row>
    <row r="5" spans="1:11" x14ac:dyDescent="0.3">
      <c r="A5" s="147" t="s">
        <v>146</v>
      </c>
      <c r="B5" s="147" t="s">
        <v>32</v>
      </c>
      <c r="C5" s="147" t="s">
        <v>33</v>
      </c>
      <c r="D5" s="147" t="s">
        <v>42</v>
      </c>
      <c r="E5" s="147" t="s">
        <v>43</v>
      </c>
      <c r="F5" s="147" t="str">
        <f>+VLOOKUP(A5,'Estado SCI'!$A$16:$I$59,9,0)</f>
        <v>Mantenimiento del control</v>
      </c>
      <c r="G5" s="147">
        <f>+VLOOKUP(A5,'Estado SCI'!$A$16:$L$59,12,0)</f>
        <v>20.123456000000001</v>
      </c>
      <c r="H5" s="147">
        <f t="shared" si="0"/>
        <v>5</v>
      </c>
      <c r="I5" s="147" t="str">
        <f>+IF(VLOOKUP(A5,'Estado SCI'!$A$16:$G$59,7,0)="","",VLOOKUP(A5,'Estado SCI'!$A$16:$G$59,7,0))</f>
        <v>Si</v>
      </c>
      <c r="J5" s="148">
        <f t="shared" si="2"/>
        <v>1</v>
      </c>
      <c r="K5" s="149">
        <f t="shared" si="1"/>
        <v>0.875</v>
      </c>
    </row>
    <row r="6" spans="1:11" x14ac:dyDescent="0.3">
      <c r="A6" s="147" t="s">
        <v>147</v>
      </c>
      <c r="B6" s="147" t="s">
        <v>32</v>
      </c>
      <c r="C6" s="147" t="s">
        <v>33</v>
      </c>
      <c r="D6" s="147" t="s">
        <v>44</v>
      </c>
      <c r="E6" s="147" t="s">
        <v>45</v>
      </c>
      <c r="F6" s="147" t="str">
        <f>+VLOOKUP(A6,'Estado SCI'!$A$16:$I$59,9,0)</f>
        <v>Mantenimiento del control</v>
      </c>
      <c r="G6" s="147">
        <f>+VLOOKUP(A6,'Estado SCI'!$A$16:$L$59,12,0)</f>
        <v>20.123456780000001</v>
      </c>
      <c r="H6" s="147">
        <f t="shared" si="0"/>
        <v>6</v>
      </c>
      <c r="I6" s="147" t="str">
        <f>+IF(VLOOKUP(A6,'Estado SCI'!$A$16:$G$59,7,0)="","",VLOOKUP(A6,'Estado SCI'!$A$16:$G$59,7,0))</f>
        <v>Si</v>
      </c>
      <c r="J6" s="148">
        <f t="shared" si="2"/>
        <v>1</v>
      </c>
      <c r="K6" s="149">
        <f t="shared" si="1"/>
        <v>0.875</v>
      </c>
    </row>
    <row r="7" spans="1:11" x14ac:dyDescent="0.3">
      <c r="A7" s="147" t="s">
        <v>148</v>
      </c>
      <c r="B7" s="147" t="s">
        <v>32</v>
      </c>
      <c r="C7" s="147" t="s">
        <v>33</v>
      </c>
      <c r="D7" s="147" t="s">
        <v>46</v>
      </c>
      <c r="E7" s="147" t="s">
        <v>47</v>
      </c>
      <c r="F7" s="147" t="str">
        <f>+VLOOKUP(A7,'Estado SCI'!$A$16:$I$59,9,0)</f>
        <v>Mantenimiento del control</v>
      </c>
      <c r="G7" s="147">
        <f>+VLOOKUP(A7,'Estado SCI'!$A$16:$L$59,12,0)</f>
        <v>20.123456788999999</v>
      </c>
      <c r="H7" s="147">
        <f t="shared" si="0"/>
        <v>7</v>
      </c>
      <c r="I7" s="147" t="str">
        <f>+IF(VLOOKUP(A7,'Estado SCI'!$A$16:$G$59,7,0)="","",VLOOKUP(A7,'Estado SCI'!$A$16:$G$59,7,0))</f>
        <v>Si</v>
      </c>
      <c r="J7" s="148">
        <f t="shared" si="2"/>
        <v>1</v>
      </c>
      <c r="K7" s="149">
        <f t="shared" si="1"/>
        <v>0.875</v>
      </c>
    </row>
    <row r="8" spans="1:11" x14ac:dyDescent="0.3">
      <c r="A8" s="147" t="s">
        <v>149</v>
      </c>
      <c r="B8" s="147" t="s">
        <v>32</v>
      </c>
      <c r="C8" s="147" t="s">
        <v>33</v>
      </c>
      <c r="D8" s="147" t="s">
        <v>48</v>
      </c>
      <c r="E8" s="147" t="s">
        <v>49</v>
      </c>
      <c r="F8" s="147" t="str">
        <f>+VLOOKUP(A8,'Estado SCI'!$A$16:$I$59,9,0)</f>
        <v>Mantenimiento del control</v>
      </c>
      <c r="G8" s="147">
        <f>+VLOOKUP(A8,'Estado SCI'!$A$16:$L$59,12,0)</f>
        <v>20.1234567891</v>
      </c>
      <c r="H8" s="147">
        <f t="shared" si="0"/>
        <v>8</v>
      </c>
      <c r="I8" s="147" t="str">
        <f>+IF(VLOOKUP(A8,'Estado SCI'!$A$16:$G$59,7,0)="","",VLOOKUP(A8,'Estado SCI'!$A$16:$G$59,7,0))</f>
        <v>Si</v>
      </c>
      <c r="J8" s="148">
        <f t="shared" si="2"/>
        <v>1</v>
      </c>
      <c r="K8" s="149">
        <f t="shared" si="1"/>
        <v>0.875</v>
      </c>
    </row>
    <row r="9" spans="1:11" x14ac:dyDescent="0.3">
      <c r="A9" s="147" t="s">
        <v>150</v>
      </c>
      <c r="B9" s="147" t="s">
        <v>32</v>
      </c>
      <c r="C9" s="147" t="s">
        <v>33</v>
      </c>
      <c r="D9" s="147" t="s">
        <v>50</v>
      </c>
      <c r="E9" s="147" t="s">
        <v>51</v>
      </c>
      <c r="F9" s="147" t="str">
        <f>+VLOOKUP(A9,'Estado SCI'!$A$16:$I$59,9,0)</f>
        <v>Mantenimiento del control</v>
      </c>
      <c r="G9" s="147">
        <f>+VLOOKUP(A9,'Estado SCI'!$A$16:$L$59,12,0)</f>
        <v>20.123456789119999</v>
      </c>
      <c r="H9" s="147">
        <f t="shared" si="0"/>
        <v>9</v>
      </c>
      <c r="I9" s="147" t="str">
        <f>+IF(VLOOKUP(A9,'Estado SCI'!$A$16:$G$59,7,0)="","",VLOOKUP(A9,'Estado SCI'!$A$16:$G$59,7,0))</f>
        <v>Si</v>
      </c>
      <c r="J9" s="148">
        <f t="shared" si="2"/>
        <v>1</v>
      </c>
      <c r="K9" s="149">
        <f t="shared" si="1"/>
        <v>0.875</v>
      </c>
    </row>
    <row r="10" spans="1:11" x14ac:dyDescent="0.3">
      <c r="A10" s="147" t="s">
        <v>151</v>
      </c>
      <c r="B10" s="147" t="s">
        <v>32</v>
      </c>
      <c r="C10" s="147" t="s">
        <v>33</v>
      </c>
      <c r="D10" s="147" t="s">
        <v>52</v>
      </c>
      <c r="E10" s="147" t="s">
        <v>53</v>
      </c>
      <c r="F10" s="147" t="str">
        <f>+VLOOKUP(A10,'Estado SCI'!$A$16:$I$59,9,0)</f>
        <v>Mantenimiento del control</v>
      </c>
      <c r="G10" s="147">
        <f>+VLOOKUP(A10,'Estado SCI'!$A$16:$L$59,12,0)</f>
        <v>20.123456789123001</v>
      </c>
      <c r="H10" s="147">
        <f t="shared" si="0"/>
        <v>10</v>
      </c>
      <c r="I10" s="147" t="str">
        <f>+IF(VLOOKUP(A10,'Estado SCI'!$A$16:$G$59,7,0)="","",VLOOKUP(A10,'Estado SCI'!$A$16:$G$59,7,0))</f>
        <v>Si</v>
      </c>
      <c r="J10" s="148">
        <f t="shared" si="2"/>
        <v>1</v>
      </c>
      <c r="K10" s="149">
        <f t="shared" si="1"/>
        <v>0.875</v>
      </c>
    </row>
    <row r="11" spans="1:11" x14ac:dyDescent="0.3">
      <c r="A11" s="147" t="s">
        <v>152</v>
      </c>
      <c r="B11" s="147" t="s">
        <v>32</v>
      </c>
      <c r="C11" s="147" t="s">
        <v>33</v>
      </c>
      <c r="D11" s="147" t="s">
        <v>54</v>
      </c>
      <c r="E11" s="147" t="s">
        <v>55</v>
      </c>
      <c r="F11" s="147" t="str">
        <f>+VLOOKUP(A11,'Estado SCI'!$A$16:$I$59,9,0)</f>
        <v>Mantenimiento del control</v>
      </c>
      <c r="G11" s="147">
        <f>+VLOOKUP(A11,'Estado SCI'!$A$16:$L$59,12,0)</f>
        <v>20.123456789123399</v>
      </c>
      <c r="H11" s="147">
        <f t="shared" si="0"/>
        <v>11</v>
      </c>
      <c r="I11" s="147" t="str">
        <f>+IF(VLOOKUP(A11,'Estado SCI'!$A$16:$G$59,7,0)="","",VLOOKUP(A11,'Estado SCI'!$A$16:$G$59,7,0))</f>
        <v>Si</v>
      </c>
      <c r="J11" s="148">
        <f t="shared" si="2"/>
        <v>1</v>
      </c>
      <c r="K11" s="149">
        <f t="shared" si="1"/>
        <v>0.875</v>
      </c>
    </row>
    <row r="12" spans="1:11" x14ac:dyDescent="0.3">
      <c r="A12" s="147" t="s">
        <v>153</v>
      </c>
      <c r="B12" s="147" t="s">
        <v>32</v>
      </c>
      <c r="C12" s="147" t="s">
        <v>33</v>
      </c>
      <c r="D12" s="147" t="s">
        <v>56</v>
      </c>
      <c r="E12" s="147" t="s">
        <v>57</v>
      </c>
      <c r="F12" s="147" t="str">
        <f>+VLOOKUP(A12,'Estado SCI'!$A$16:$I$59,9,0)</f>
        <v>Oportunidad de mejora</v>
      </c>
      <c r="G12" s="147">
        <f>+VLOOKUP(A12,'Estado SCI'!$A$16:$L$59,12,0)</f>
        <v>10.12345678912345</v>
      </c>
      <c r="H12" s="147">
        <f t="shared" si="0"/>
        <v>2</v>
      </c>
      <c r="I12" s="147" t="str">
        <f>+IF(VLOOKUP(A12,'Estado SCI'!$A$16:$G$59,7,0)="","",VLOOKUP(A12,'Estado SCI'!$A$16:$G$59,7,0))</f>
        <v>En proceso</v>
      </c>
      <c r="J12" s="148">
        <f t="shared" si="2"/>
        <v>0.5</v>
      </c>
      <c r="K12" s="149">
        <f t="shared" si="1"/>
        <v>0.875</v>
      </c>
    </row>
    <row r="13" spans="1:11" x14ac:dyDescent="0.3">
      <c r="A13" s="147" t="s">
        <v>154</v>
      </c>
      <c r="B13" s="147" t="s">
        <v>32</v>
      </c>
      <c r="C13" s="147" t="s">
        <v>33</v>
      </c>
      <c r="D13" s="147" t="s">
        <v>58</v>
      </c>
      <c r="E13" s="147" t="s">
        <v>59</v>
      </c>
      <c r="F13" s="147" t="str">
        <f>+VLOOKUP(A13,'Estado SCI'!$A$16:$I$59,9,0)</f>
        <v>Mantenimiento del control</v>
      </c>
      <c r="G13" s="147">
        <f>+VLOOKUP(A13,'Estado SCI'!$A$16:$L$59,12,0)</f>
        <v>20.123456789123455</v>
      </c>
      <c r="H13" s="147">
        <f t="shared" si="0"/>
        <v>12</v>
      </c>
      <c r="I13" s="147" t="str">
        <f>+IF(VLOOKUP(A13,'Estado SCI'!$A$16:$G$59,7,0)="","",VLOOKUP(A13,'Estado SCI'!$A$16:$G$59,7,0))</f>
        <v>Si</v>
      </c>
      <c r="J13" s="148">
        <f t="shared" si="2"/>
        <v>1</v>
      </c>
      <c r="K13" s="149">
        <f t="shared" si="1"/>
        <v>0.875</v>
      </c>
    </row>
    <row r="14" spans="1:11" ht="15" customHeight="1" x14ac:dyDescent="0.3">
      <c r="A14" s="147" t="s">
        <v>155</v>
      </c>
      <c r="B14" s="147" t="str">
        <f>+VLOOKUP(A14,'Estado SCI'!$A$16:$C$59,3,0)</f>
        <v>EVALUACION DEL RIESGO</v>
      </c>
      <c r="C14" s="147" t="s">
        <v>62</v>
      </c>
      <c r="D14" s="147" t="s">
        <v>34</v>
      </c>
      <c r="E14" s="147" t="s">
        <v>156</v>
      </c>
      <c r="F14" s="147" t="str">
        <f>+VLOOKUP(A14,'Estado SCI'!$A$16:$I$59,9,0)</f>
        <v>Oportunidad de mejora</v>
      </c>
      <c r="G14" s="147">
        <f>+VLOOKUP(A14,'Estado SCI'!$A$16:$L$59,12,0)</f>
        <v>30.23</v>
      </c>
      <c r="H14" s="147">
        <f t="shared" si="0"/>
        <v>17</v>
      </c>
      <c r="I14" s="147" t="str">
        <f>+IF(VLOOKUP(A14,'Estado SCI'!$A$16:$G$59,7,0)="","",VLOOKUP(A14,'Estado SCI'!$A$16:$G$59,7,0))</f>
        <v>En proceso</v>
      </c>
      <c r="J14" s="148">
        <f t="shared" si="2"/>
        <v>0.5</v>
      </c>
      <c r="K14" s="149">
        <f t="shared" si="1"/>
        <v>0.5</v>
      </c>
    </row>
    <row r="15" spans="1:11" ht="15" customHeight="1" x14ac:dyDescent="0.3">
      <c r="A15" s="147" t="s">
        <v>157</v>
      </c>
      <c r="B15" s="147" t="s">
        <v>61</v>
      </c>
      <c r="C15" s="147" t="s">
        <v>62</v>
      </c>
      <c r="D15" s="147" t="s">
        <v>37</v>
      </c>
      <c r="E15" s="147" t="s">
        <v>158</v>
      </c>
      <c r="F15" s="147" t="str">
        <f>+VLOOKUP(A15,'Estado SCI'!$A$16:$I$59,9,0)</f>
        <v>Mantenimiento del control</v>
      </c>
      <c r="G15" s="147">
        <f>+VLOOKUP(A15,'Estado SCI'!$A$16:$L$59,12,0)</f>
        <v>40.234000000000002</v>
      </c>
      <c r="H15" s="147">
        <f t="shared" si="0"/>
        <v>19</v>
      </c>
      <c r="I15" s="147" t="str">
        <f>+IF(VLOOKUP(A15,'Estado SCI'!$A$16:$G$59,7,0)="","",VLOOKUP(A15,'Estado SCI'!$A$16:$G$59,7,0))</f>
        <v>Si</v>
      </c>
      <c r="J15" s="148">
        <f t="shared" si="2"/>
        <v>1</v>
      </c>
      <c r="K15" s="149">
        <f t="shared" si="1"/>
        <v>0.5</v>
      </c>
    </row>
    <row r="16" spans="1:11" ht="15" customHeight="1" x14ac:dyDescent="0.3">
      <c r="A16" s="147" t="s">
        <v>159</v>
      </c>
      <c r="B16" s="147" t="s">
        <v>61</v>
      </c>
      <c r="C16" s="147" t="s">
        <v>62</v>
      </c>
      <c r="D16" s="147" t="s">
        <v>40</v>
      </c>
      <c r="E16" s="147" t="s">
        <v>160</v>
      </c>
      <c r="F16" s="147" t="str">
        <f>+VLOOKUP(A16,'Estado SCI'!$A$16:$I$59,9,0)</f>
        <v>Deficiencia de control</v>
      </c>
      <c r="G16" s="147">
        <f>+VLOOKUP(A16,'Estado SCI'!$A$16:$L$59,12,0)</f>
        <v>20.234500000000001</v>
      </c>
      <c r="H16" s="147">
        <f t="shared" si="0"/>
        <v>13</v>
      </c>
      <c r="I16" s="147" t="str">
        <f>+IF(VLOOKUP(A16,'Estado SCI'!$A$16:$G$59,7,0)="","",VLOOKUP(A16,'Estado SCI'!$A$16:$G$59,7,0))</f>
        <v>No</v>
      </c>
      <c r="J16" s="148">
        <f t="shared" si="2"/>
        <v>0</v>
      </c>
      <c r="K16" s="149">
        <f t="shared" si="1"/>
        <v>0.5</v>
      </c>
    </row>
    <row r="17" spans="1:11" ht="15.75" customHeight="1" x14ac:dyDescent="0.3">
      <c r="A17" s="147" t="s">
        <v>161</v>
      </c>
      <c r="B17" s="147" t="s">
        <v>61</v>
      </c>
      <c r="C17" s="147" t="s">
        <v>62</v>
      </c>
      <c r="D17" s="147" t="s">
        <v>42</v>
      </c>
      <c r="E17" s="147" t="s">
        <v>66</v>
      </c>
      <c r="F17" s="147" t="str">
        <f>+VLOOKUP(A17,'Estado SCI'!$A$16:$I$59,9,0)</f>
        <v>Mantenimiento del control</v>
      </c>
      <c r="G17" s="147">
        <f>+VLOOKUP(A17,'Estado SCI'!$A$16:$L$59,12,0)</f>
        <v>40.234560000000002</v>
      </c>
      <c r="H17" s="147">
        <f t="shared" si="0"/>
        <v>20</v>
      </c>
      <c r="I17" s="147" t="str">
        <f>+IF(VLOOKUP(A17,'Estado SCI'!$A$16:$G$59,7,0)="","",VLOOKUP(A17,'Estado SCI'!$A$16:$G$59,7,0))</f>
        <v>Si</v>
      </c>
      <c r="J17" s="148">
        <f t="shared" si="2"/>
        <v>1</v>
      </c>
      <c r="K17" s="149">
        <f t="shared" si="1"/>
        <v>0.5</v>
      </c>
    </row>
    <row r="18" spans="1:11" ht="15" customHeight="1" x14ac:dyDescent="0.3">
      <c r="A18" s="147" t="s">
        <v>162</v>
      </c>
      <c r="B18" s="147" t="s">
        <v>61</v>
      </c>
      <c r="C18" s="147" t="s">
        <v>80</v>
      </c>
      <c r="D18" s="147" t="s">
        <v>34</v>
      </c>
      <c r="E18" s="147" t="s">
        <v>69</v>
      </c>
      <c r="F18" s="147" t="str">
        <f>+VLOOKUP(A18,'Estado SCI'!$A$16:$I$59,9,0)</f>
        <v>Deficiencia de control</v>
      </c>
      <c r="G18" s="147">
        <f>+VLOOKUP(A18,'Estado SCI'!$A$16:$L$59,12,0)</f>
        <v>20.234566999999998</v>
      </c>
      <c r="H18" s="147">
        <f t="shared" si="0"/>
        <v>14</v>
      </c>
      <c r="I18" s="147" t="str">
        <f>+IF(VLOOKUP(A18,'Estado SCI'!$A$16:$G$59,7,0)="","",VLOOKUP(A18,'Estado SCI'!$A$16:$G$59,7,0))</f>
        <v>No</v>
      </c>
      <c r="J18" s="148">
        <f t="shared" si="2"/>
        <v>0</v>
      </c>
      <c r="K18" s="149">
        <f t="shared" si="1"/>
        <v>0.5</v>
      </c>
    </row>
    <row r="19" spans="1:11" ht="15" customHeight="1" x14ac:dyDescent="0.3">
      <c r="A19" s="147" t="s">
        <v>163</v>
      </c>
      <c r="B19" s="147" t="s">
        <v>61</v>
      </c>
      <c r="C19" s="147" t="s">
        <v>80</v>
      </c>
      <c r="D19" s="147" t="s">
        <v>37</v>
      </c>
      <c r="E19" s="147" t="s">
        <v>70</v>
      </c>
      <c r="F19" s="147" t="str">
        <f>+VLOOKUP(A19,'Estado SCI'!$A$16:$I$59,9,0)</f>
        <v>Deficiencia de control</v>
      </c>
      <c r="G19" s="147">
        <f>+VLOOKUP(A19,'Estado SCI'!$A$16:$L$59,12,0)</f>
        <v>20.234567800000001</v>
      </c>
      <c r="H19" s="147">
        <f t="shared" si="0"/>
        <v>15</v>
      </c>
      <c r="I19" s="147" t="str">
        <f>+IF(VLOOKUP(A19,'Estado SCI'!$A$16:$G$59,7,0)="","",VLOOKUP(A19,'Estado SCI'!$A$16:$G$59,7,0))</f>
        <v>No</v>
      </c>
      <c r="J19" s="148">
        <f t="shared" si="2"/>
        <v>0</v>
      </c>
      <c r="K19" s="149">
        <f t="shared" si="1"/>
        <v>0.5</v>
      </c>
    </row>
    <row r="20" spans="1:11" ht="15" customHeight="1" x14ac:dyDescent="0.3">
      <c r="A20" s="147" t="s">
        <v>164</v>
      </c>
      <c r="B20" s="147" t="s">
        <v>61</v>
      </c>
      <c r="C20" s="147" t="s">
        <v>80</v>
      </c>
      <c r="D20" s="147" t="s">
        <v>40</v>
      </c>
      <c r="E20" s="147" t="s">
        <v>71</v>
      </c>
      <c r="F20" s="147" t="str">
        <f>+VLOOKUP(A20,'Estado SCI'!$A$16:$I$59,9,0)</f>
        <v>Deficiencia de control</v>
      </c>
      <c r="G20" s="147">
        <f>+VLOOKUP(A20,'Estado SCI'!$A$16:$L$59,12,0)</f>
        <v>20.234567890000001</v>
      </c>
      <c r="H20" s="147">
        <f t="shared" si="0"/>
        <v>16</v>
      </c>
      <c r="I20" s="147" t="str">
        <f>+IF(VLOOKUP(A20,'Estado SCI'!$A$16:$G$59,7,0)="","",VLOOKUP(A20,'Estado SCI'!$A$16:$G$59,7,0))</f>
        <v>No</v>
      </c>
      <c r="J20" s="148">
        <f t="shared" si="2"/>
        <v>0</v>
      </c>
      <c r="K20" s="149">
        <f t="shared" si="1"/>
        <v>0.5</v>
      </c>
    </row>
    <row r="21" spans="1:11" ht="15.75" customHeight="1" x14ac:dyDescent="0.3">
      <c r="A21" s="147" t="s">
        <v>165</v>
      </c>
      <c r="B21" s="147" t="s">
        <v>61</v>
      </c>
      <c r="C21" s="147" t="s">
        <v>80</v>
      </c>
      <c r="D21" s="147" t="s">
        <v>34</v>
      </c>
      <c r="E21" s="147" t="s">
        <v>74</v>
      </c>
      <c r="F21" s="147" t="str">
        <f>+VLOOKUP(A21,'Estado SCI'!$A$16:$I$59,9,0)</f>
        <v>Mantenimiento del control</v>
      </c>
      <c r="G21" s="147">
        <f>+VLOOKUP(A21,'Estado SCI'!$A$16:$L$59,12,0)</f>
        <v>40.234567891200001</v>
      </c>
      <c r="H21" s="147">
        <f t="shared" si="0"/>
        <v>21</v>
      </c>
      <c r="I21" s="147" t="str">
        <f>+IF(VLOOKUP(A21,'Estado SCI'!$A$16:$G$59,7,0)="","",VLOOKUP(A21,'Estado SCI'!$A$16:$G$59,7,0))</f>
        <v>Si</v>
      </c>
      <c r="J21" s="148">
        <f t="shared" si="2"/>
        <v>1</v>
      </c>
      <c r="K21" s="149">
        <f t="shared" si="1"/>
        <v>0.5</v>
      </c>
    </row>
    <row r="22" spans="1:11" ht="15" customHeight="1" x14ac:dyDescent="0.3">
      <c r="A22" s="147" t="s">
        <v>166</v>
      </c>
      <c r="B22" s="147" t="s">
        <v>61</v>
      </c>
      <c r="C22" s="147" t="s">
        <v>88</v>
      </c>
      <c r="D22" s="147" t="s">
        <v>37</v>
      </c>
      <c r="E22" s="147" t="s">
        <v>75</v>
      </c>
      <c r="F22" s="147" t="str">
        <f>+VLOOKUP(A22,'Estado SCI'!$A$16:$I$59,9,0)</f>
        <v>Oportunidad de mejora</v>
      </c>
      <c r="G22" s="147">
        <f>+VLOOKUP(A22,'Estado SCI'!$A$16:$L$59,12,0)</f>
        <v>30.23456789123</v>
      </c>
      <c r="H22" s="147">
        <f t="shared" si="0"/>
        <v>18</v>
      </c>
      <c r="I22" s="147" t="str">
        <f>+IF(VLOOKUP(A22,'Estado SCI'!$A$16:$G$59,7,0)="","",VLOOKUP(A22,'Estado SCI'!$A$16:$G$59,7,0))</f>
        <v>En proceso</v>
      </c>
      <c r="J22" s="148">
        <f t="shared" si="2"/>
        <v>0.5</v>
      </c>
      <c r="K22" s="149">
        <f t="shared" si="1"/>
        <v>0.5</v>
      </c>
    </row>
    <row r="23" spans="1:11" ht="15" customHeight="1" x14ac:dyDescent="0.3">
      <c r="A23" s="147" t="s">
        <v>167</v>
      </c>
      <c r="B23" s="147" t="s">
        <v>61</v>
      </c>
      <c r="C23" s="147" t="s">
        <v>88</v>
      </c>
      <c r="D23" s="147" t="s">
        <v>40</v>
      </c>
      <c r="E23" s="147" t="s">
        <v>77</v>
      </c>
      <c r="F23" s="147" t="str">
        <f>+VLOOKUP(A23,'Estado SCI'!$A$16:$I$59,9,0)</f>
        <v>Mantenimiento del control</v>
      </c>
      <c r="G23" s="147">
        <f>+VLOOKUP(A23,'Estado SCI'!$A$16:$L$59,12,0)</f>
        <v>40.234567891234001</v>
      </c>
      <c r="H23" s="147">
        <f t="shared" si="0"/>
        <v>22</v>
      </c>
      <c r="I23" s="147" t="str">
        <f>+IF(VLOOKUP(A23,'Estado SCI'!$A$16:$G$59,7,0)="","",VLOOKUP(A23,'Estado SCI'!$A$16:$G$59,7,0))</f>
        <v>Si</v>
      </c>
      <c r="J23" s="148">
        <f t="shared" si="2"/>
        <v>1</v>
      </c>
      <c r="K23" s="149">
        <f t="shared" si="1"/>
        <v>0.5</v>
      </c>
    </row>
    <row r="24" spans="1:11" ht="15" customHeight="1" x14ac:dyDescent="0.3">
      <c r="A24" s="147" t="s">
        <v>168</v>
      </c>
      <c r="B24" s="147" t="str">
        <f>+VLOOKUP(A24,'Estado SCI'!$A$16:$C$59,3,0)</f>
        <v>ACTIVIDADES DE CONTROL</v>
      </c>
      <c r="C24" s="147" t="s">
        <v>88</v>
      </c>
      <c r="D24" s="147" t="s">
        <v>34</v>
      </c>
      <c r="E24" s="147" t="s">
        <v>81</v>
      </c>
      <c r="F24" s="147" t="str">
        <f>+VLOOKUP(A24,'Estado SCI'!$A$16:$I$59,9,0)</f>
        <v>Oportunidad de mejora</v>
      </c>
      <c r="G24" s="147">
        <f>+VLOOKUP(A24,'Estado SCI'!$A$16:$L$59,12,0)</f>
        <v>50.31</v>
      </c>
      <c r="H24" s="147">
        <f t="shared" si="0"/>
        <v>23</v>
      </c>
      <c r="I24" s="147" t="str">
        <f>+IF(VLOOKUP(A24,'Estado SCI'!$A$16:$G$59,7,0)="","",VLOOKUP(A24,'Estado SCI'!$A$16:$G$59,7,0))</f>
        <v>En proceso</v>
      </c>
      <c r="J24" s="148">
        <f t="shared" si="2"/>
        <v>0.5</v>
      </c>
      <c r="K24" s="149">
        <f t="shared" si="1"/>
        <v>0.5</v>
      </c>
    </row>
    <row r="25" spans="1:11" ht="15" customHeight="1" x14ac:dyDescent="0.3">
      <c r="A25" s="147" t="s">
        <v>169</v>
      </c>
      <c r="B25" s="147" t="s">
        <v>79</v>
      </c>
      <c r="C25" s="147" t="s">
        <v>88</v>
      </c>
      <c r="D25" s="147" t="s">
        <v>37</v>
      </c>
      <c r="E25" s="147" t="s">
        <v>82</v>
      </c>
      <c r="F25" s="147" t="str">
        <f>+VLOOKUP(A25,'Estado SCI'!$A$16:$I$59,9,0)</f>
        <v>Oportunidad de mejora</v>
      </c>
      <c r="G25" s="147">
        <f>+VLOOKUP(A25,'Estado SCI'!$A$16:$L$59,12,0)</f>
        <v>50.323</v>
      </c>
      <c r="H25" s="147">
        <f t="shared" si="0"/>
        <v>24</v>
      </c>
      <c r="I25" s="147" t="str">
        <f>+IF(VLOOKUP(A25,'Estado SCI'!$A$16:$G$59,7,0)="","",VLOOKUP(A25,'Estado SCI'!$A$16:$G$59,7,0))</f>
        <v>En proceso</v>
      </c>
      <c r="J25" s="148">
        <f t="shared" si="2"/>
        <v>0.5</v>
      </c>
      <c r="K25" s="149">
        <f t="shared" si="1"/>
        <v>0.5</v>
      </c>
    </row>
    <row r="26" spans="1:11" ht="15" customHeight="1" x14ac:dyDescent="0.3">
      <c r="A26" s="147" t="s">
        <v>170</v>
      </c>
      <c r="B26" s="147" t="s">
        <v>79</v>
      </c>
      <c r="C26" s="147" t="s">
        <v>88</v>
      </c>
      <c r="D26" s="147" t="s">
        <v>40</v>
      </c>
      <c r="E26" s="147" t="s">
        <v>83</v>
      </c>
      <c r="F26" s="147" t="str">
        <f>+VLOOKUP(A26,'Estado SCI'!$A$16:$I$59,9,0)</f>
        <v>Oportunidad de mejora</v>
      </c>
      <c r="G26" s="147">
        <f>+VLOOKUP(A26,'Estado SCI'!$A$16:$L$59,12,0)</f>
        <v>50.323999999999998</v>
      </c>
      <c r="H26" s="147">
        <f t="shared" si="0"/>
        <v>25</v>
      </c>
      <c r="I26" s="147" t="str">
        <f>+IF(VLOOKUP(A26,'Estado SCI'!$A$16:$G$59,7,0)="","",VLOOKUP(A26,'Estado SCI'!$A$16:$G$59,7,0))</f>
        <v>En proceso</v>
      </c>
      <c r="J26" s="148">
        <f t="shared" si="2"/>
        <v>0.5</v>
      </c>
      <c r="K26" s="149">
        <f t="shared" si="1"/>
        <v>0.5</v>
      </c>
    </row>
    <row r="27" spans="1:11" ht="15.75" customHeight="1" x14ac:dyDescent="0.3">
      <c r="A27" s="147" t="s">
        <v>171</v>
      </c>
      <c r="B27" s="147" t="s">
        <v>79</v>
      </c>
      <c r="C27" s="147" t="s">
        <v>88</v>
      </c>
      <c r="D27" s="147" t="s">
        <v>42</v>
      </c>
      <c r="E27" s="147" t="s">
        <v>84</v>
      </c>
      <c r="F27" s="147" t="str">
        <f>+VLOOKUP(A27,'Estado SCI'!$A$16:$I$59,9,0)</f>
        <v>Oportunidad de mejora</v>
      </c>
      <c r="G27" s="147">
        <f>+VLOOKUP(A27,'Estado SCI'!$A$16:$L$59,12,0)</f>
        <v>50.325000000000003</v>
      </c>
      <c r="H27" s="147">
        <f t="shared" si="0"/>
        <v>26</v>
      </c>
      <c r="I27" s="147" t="str">
        <f>+IF(VLOOKUP(A27,'Estado SCI'!$A$16:$G$59,7,0)="","",VLOOKUP(A27,'Estado SCI'!$A$16:$G$59,7,0))</f>
        <v>En proceso</v>
      </c>
      <c r="J27" s="148">
        <f t="shared" si="2"/>
        <v>0.5</v>
      </c>
      <c r="K27" s="149">
        <f t="shared" si="1"/>
        <v>0.5</v>
      </c>
    </row>
    <row r="28" spans="1:11" ht="15" customHeight="1" x14ac:dyDescent="0.3">
      <c r="A28" s="147" t="s">
        <v>172</v>
      </c>
      <c r="B28" s="147" t="s">
        <v>79</v>
      </c>
      <c r="C28" s="147" t="s">
        <v>98</v>
      </c>
      <c r="D28" s="147" t="s">
        <v>44</v>
      </c>
      <c r="E28" s="147" t="s">
        <v>85</v>
      </c>
      <c r="F28" s="147" t="str">
        <f>+VLOOKUP(A28,'Estado SCI'!$A$16:$I$59,9,0)</f>
        <v>Oportunidad de mejora</v>
      </c>
      <c r="G28" s="147">
        <f>+VLOOKUP(A28,'Estado SCI'!$A$16:$L$59,12,0)</f>
        <v>50.326000000000001</v>
      </c>
      <c r="H28" s="147">
        <f t="shared" si="0"/>
        <v>27</v>
      </c>
      <c r="I28" s="147" t="str">
        <f>+IF(VLOOKUP(A28,'Estado SCI'!$A$16:$G$59,7,0)="","",VLOOKUP(A28,'Estado SCI'!$A$16:$G$59,7,0))</f>
        <v>En proceso</v>
      </c>
      <c r="J28" s="148">
        <f t="shared" si="2"/>
        <v>0.5</v>
      </c>
      <c r="K28" s="149">
        <f t="shared" si="1"/>
        <v>0.5</v>
      </c>
    </row>
    <row r="29" spans="1:11" ht="15" customHeight="1" x14ac:dyDescent="0.3">
      <c r="A29" s="147" t="s">
        <v>173</v>
      </c>
      <c r="B29" s="147" t="str">
        <f>+VLOOKUP(A29,'Estado SCI'!$A$16:$C$59,3,0)</f>
        <v>INFORMACION Y COMUNICACIÓN</v>
      </c>
      <c r="C29" s="147" t="s">
        <v>98</v>
      </c>
      <c r="D29" s="147" t="s">
        <v>34</v>
      </c>
      <c r="E29" s="147" t="s">
        <v>89</v>
      </c>
      <c r="F29" s="147" t="str">
        <f>+VLOOKUP(A29,'Estado SCI'!$A$16:$I$59,9,0)</f>
        <v>Mantenimiento del control</v>
      </c>
      <c r="G29" s="147">
        <f>+VLOOKUP(A29,'Estado SCI'!$A$16:$L$59,12,0)</f>
        <v>80.412000000000006</v>
      </c>
      <c r="H29" s="147">
        <f t="shared" si="0"/>
        <v>29</v>
      </c>
      <c r="I29" s="147" t="str">
        <f>+IF(VLOOKUP(A29,'Estado SCI'!$A$16:$G$59,7,0)="","",VLOOKUP(A29,'Estado SCI'!$A$16:$G$59,7,0))</f>
        <v>Si</v>
      </c>
      <c r="J29" s="148">
        <f t="shared" si="2"/>
        <v>1</v>
      </c>
      <c r="K29" s="149">
        <f t="shared" si="1"/>
        <v>0.9285714285714286</v>
      </c>
    </row>
    <row r="30" spans="1:11" ht="15" customHeight="1" x14ac:dyDescent="0.3">
      <c r="A30" s="147" t="s">
        <v>174</v>
      </c>
      <c r="B30" s="147" t="s">
        <v>87</v>
      </c>
      <c r="C30" s="147" t="s">
        <v>98</v>
      </c>
      <c r="D30" s="147" t="s">
        <v>37</v>
      </c>
      <c r="E30" s="147" t="s">
        <v>90</v>
      </c>
      <c r="F30" s="147" t="str">
        <f>+VLOOKUP(A30,'Estado SCI'!$A$16:$I$59,9,0)</f>
        <v>Oportunidad de mejora</v>
      </c>
      <c r="G30" s="147">
        <f>+VLOOKUP(A30,'Estado SCI'!$A$16:$L$59,12,0)</f>
        <v>70.412300000000002</v>
      </c>
      <c r="H30" s="147">
        <f t="shared" si="0"/>
        <v>28</v>
      </c>
      <c r="I30" s="147" t="str">
        <f>+IF(VLOOKUP(A30,'Estado SCI'!$A$16:$G$59,7,0)="","",VLOOKUP(A30,'Estado SCI'!$A$16:$G$59,7,0))</f>
        <v>En proceso</v>
      </c>
      <c r="J30" s="148">
        <f t="shared" si="2"/>
        <v>0.5</v>
      </c>
      <c r="K30" s="149">
        <f t="shared" si="1"/>
        <v>0.9285714285714286</v>
      </c>
    </row>
    <row r="31" spans="1:11" ht="15.75" customHeight="1" x14ac:dyDescent="0.3">
      <c r="A31" s="147" t="s">
        <v>175</v>
      </c>
      <c r="B31" s="147" t="s">
        <v>87</v>
      </c>
      <c r="C31" s="147" t="s">
        <v>98</v>
      </c>
      <c r="D31" s="147" t="s">
        <v>40</v>
      </c>
      <c r="E31" s="147" t="s">
        <v>91</v>
      </c>
      <c r="F31" s="147" t="str">
        <f>+VLOOKUP(A31,'Estado SCI'!$A$16:$I$59,9,0)</f>
        <v>Mantenimiento del control</v>
      </c>
      <c r="G31" s="147">
        <f>+VLOOKUP(A31,'Estado SCI'!$A$16:$L$59,12,0)</f>
        <v>80.41234</v>
      </c>
      <c r="H31" s="147">
        <f t="shared" si="0"/>
        <v>30</v>
      </c>
      <c r="I31" s="147" t="str">
        <f>+IF(VLOOKUP(A31,'Estado SCI'!$A$16:$G$59,7,0)="","",VLOOKUP(A31,'Estado SCI'!$A$16:$G$59,7,0))</f>
        <v>Si</v>
      </c>
      <c r="J31" s="148">
        <f t="shared" si="2"/>
        <v>1</v>
      </c>
      <c r="K31" s="149">
        <f t="shared" si="1"/>
        <v>0.9285714285714286</v>
      </c>
    </row>
    <row r="32" spans="1:11" x14ac:dyDescent="0.3">
      <c r="A32" s="147" t="s">
        <v>176</v>
      </c>
      <c r="B32" s="147" t="s">
        <v>87</v>
      </c>
      <c r="C32" s="147" t="s">
        <v>104</v>
      </c>
      <c r="D32" s="147" t="s">
        <v>42</v>
      </c>
      <c r="E32" s="147" t="s">
        <v>92</v>
      </c>
      <c r="F32" s="147" t="str">
        <f>+VLOOKUP(A32,'Estado SCI'!$A$16:$I$59,9,0)</f>
        <v>Mantenimiento del control</v>
      </c>
      <c r="G32" s="147">
        <f>+VLOOKUP(A32,'Estado SCI'!$A$16:$L$59,12,0)</f>
        <v>80.412345000000002</v>
      </c>
      <c r="H32" s="147">
        <f t="shared" si="0"/>
        <v>31</v>
      </c>
      <c r="I32" s="147" t="str">
        <f>+IF(VLOOKUP(A32,'Estado SCI'!$A$16:$G$59,7,0)="","",VLOOKUP(A32,'Estado SCI'!$A$16:$G$59,7,0))</f>
        <v>Si</v>
      </c>
      <c r="J32" s="148">
        <f t="shared" si="2"/>
        <v>1</v>
      </c>
      <c r="K32" s="149">
        <f t="shared" si="1"/>
        <v>0.9285714285714286</v>
      </c>
    </row>
    <row r="33" spans="1:11" x14ac:dyDescent="0.3">
      <c r="A33" s="147" t="s">
        <v>177</v>
      </c>
      <c r="B33" s="147" t="s">
        <v>87</v>
      </c>
      <c r="C33" s="147" t="s">
        <v>178</v>
      </c>
      <c r="D33" s="147" t="s">
        <v>44</v>
      </c>
      <c r="E33" s="147" t="s">
        <v>93</v>
      </c>
      <c r="F33" s="147" t="str">
        <f>+VLOOKUP(A33,'Estado SCI'!$A$16:$I$59,9,0)</f>
        <v>Mantenimiento del control</v>
      </c>
      <c r="G33" s="147">
        <f>+VLOOKUP(A33,'Estado SCI'!$A$16:$L$59,12,0)</f>
        <v>80.412345599999995</v>
      </c>
      <c r="H33" s="147">
        <f t="shared" si="0"/>
        <v>32</v>
      </c>
      <c r="I33" s="147" t="str">
        <f>+IF(VLOOKUP(A33,'Estado SCI'!$A$16:$G$59,7,0)="","",VLOOKUP(A33,'Estado SCI'!$A$16:$G$59,7,0))</f>
        <v>Si</v>
      </c>
      <c r="J33" s="148">
        <f t="shared" si="2"/>
        <v>1</v>
      </c>
      <c r="K33" s="149">
        <f t="shared" si="1"/>
        <v>0.9285714285714286</v>
      </c>
    </row>
    <row r="34" spans="1:11" x14ac:dyDescent="0.3">
      <c r="A34" s="147" t="s">
        <v>179</v>
      </c>
      <c r="B34" s="147" t="s">
        <v>87</v>
      </c>
      <c r="C34" s="147" t="s">
        <v>178</v>
      </c>
      <c r="D34" s="147" t="s">
        <v>46</v>
      </c>
      <c r="E34" s="147" t="s">
        <v>94</v>
      </c>
      <c r="F34" s="147" t="str">
        <f>+VLOOKUP(A34,'Estado SCI'!$A$16:$I$59,9,0)</f>
        <v>Mantenimiento del control</v>
      </c>
      <c r="G34" s="147">
        <f>+VLOOKUP(A34,'Estado SCI'!$A$16:$L$59,12,0)</f>
        <v>80.412345669999993</v>
      </c>
      <c r="H34" s="147">
        <f t="shared" si="0"/>
        <v>33</v>
      </c>
      <c r="I34" s="147" t="str">
        <f>+IF(VLOOKUP(A34,'Estado SCI'!$A$16:$G$59,7,0)="","",VLOOKUP(A34,'Estado SCI'!$A$16:$G$59,7,0))</f>
        <v>Si</v>
      </c>
      <c r="J34" s="148">
        <f t="shared" si="2"/>
        <v>1</v>
      </c>
      <c r="K34" s="149">
        <f t="shared" si="1"/>
        <v>0.9285714285714286</v>
      </c>
    </row>
    <row r="35" spans="1:11" x14ac:dyDescent="0.3">
      <c r="A35" s="147" t="s">
        <v>180</v>
      </c>
      <c r="B35" s="147" t="s">
        <v>87</v>
      </c>
      <c r="C35" s="147" t="s">
        <v>178</v>
      </c>
      <c r="D35" s="147" t="s">
        <v>48</v>
      </c>
      <c r="E35" s="147" t="s">
        <v>95</v>
      </c>
      <c r="F35" s="147" t="str">
        <f>+VLOOKUP(A35,'Estado SCI'!$A$16:$I$59,9,0)</f>
        <v>Mantenimiento del control</v>
      </c>
      <c r="G35" s="147">
        <f>+VLOOKUP(A35,'Estado SCI'!$A$16:$L$59,12,0)</f>
        <v>80.412345677999994</v>
      </c>
      <c r="H35" s="147">
        <f t="shared" si="0"/>
        <v>34</v>
      </c>
      <c r="I35" s="147" t="str">
        <f>+IF(VLOOKUP(A35,'Estado SCI'!$A$16:$G$59,7,0)="","",VLOOKUP(A35,'Estado SCI'!$A$16:$G$59,7,0))</f>
        <v>Si</v>
      </c>
      <c r="J35" s="148">
        <f t="shared" si="2"/>
        <v>1</v>
      </c>
      <c r="K35" s="149">
        <f t="shared" si="1"/>
        <v>0.9285714285714286</v>
      </c>
    </row>
    <row r="36" spans="1:11" x14ac:dyDescent="0.3">
      <c r="A36" s="147" t="s">
        <v>181</v>
      </c>
      <c r="B36" s="147" t="str">
        <f>+VLOOKUP(A36,'Estado SCI'!$A$16:$C$59,3,0)</f>
        <v>ACTIVIDADES DE MONITOREO</v>
      </c>
      <c r="C36" s="147" t="s">
        <v>178</v>
      </c>
      <c r="D36" s="147" t="s">
        <v>34</v>
      </c>
      <c r="E36" s="147" t="s">
        <v>99</v>
      </c>
      <c r="F36" s="147" t="str">
        <f>+VLOOKUP(A36,'Estado SCI'!$A$16:$I$59,9,0)</f>
        <v>Oportunidad de mejora</v>
      </c>
      <c r="G36" s="147">
        <f>+VLOOKUP(A36,'Estado SCI'!$A$16:$L$59,12,0)</f>
        <v>100.851</v>
      </c>
      <c r="H36" s="147">
        <f t="shared" si="0"/>
        <v>35</v>
      </c>
      <c r="I36" s="147" t="str">
        <f>+IF(VLOOKUP(A36,'Estado SCI'!$A$16:$G$59,7,0)="","",VLOOKUP(A36,'Estado SCI'!$A$16:$G$59,7,0))</f>
        <v>En proceso</v>
      </c>
      <c r="J36" s="148">
        <f t="shared" si="2"/>
        <v>0.5</v>
      </c>
      <c r="K36" s="149">
        <f t="shared" si="1"/>
        <v>0.6</v>
      </c>
    </row>
    <row r="37" spans="1:11" x14ac:dyDescent="0.3">
      <c r="A37" s="147" t="s">
        <v>182</v>
      </c>
      <c r="B37" s="147" t="s">
        <v>97</v>
      </c>
      <c r="C37" s="147" t="s">
        <v>178</v>
      </c>
      <c r="D37" s="147" t="s">
        <v>42</v>
      </c>
      <c r="E37" s="147" t="s">
        <v>100</v>
      </c>
      <c r="F37" s="147" t="str">
        <f>+VLOOKUP(A37,'Estado SCI'!$A$16:$I$59,9,0)</f>
        <v>Mantenimiento del control</v>
      </c>
      <c r="G37" s="147">
        <f>+VLOOKUP(A37,'Estado SCI'!$A$16:$L$59,12,0)</f>
        <v>120.85120000000001</v>
      </c>
      <c r="H37" s="147">
        <f t="shared" si="0"/>
        <v>43</v>
      </c>
      <c r="I37" s="147" t="str">
        <f>+IF(VLOOKUP(A37,'Estado SCI'!$A$16:$G$59,7,0)="","",VLOOKUP(A37,'Estado SCI'!$A$16:$G$59,7,0))</f>
        <v>Si</v>
      </c>
      <c r="J37" s="148">
        <f t="shared" si="2"/>
        <v>1</v>
      </c>
      <c r="K37" s="149">
        <f t="shared" si="1"/>
        <v>0.6</v>
      </c>
    </row>
    <row r="38" spans="1:11" x14ac:dyDescent="0.3">
      <c r="A38" s="147" t="s">
        <v>183</v>
      </c>
      <c r="B38" s="147" t="s">
        <v>97</v>
      </c>
      <c r="C38" s="147" t="s">
        <v>68</v>
      </c>
      <c r="D38" s="147" t="s">
        <v>46</v>
      </c>
      <c r="E38" s="147" t="s">
        <v>101</v>
      </c>
      <c r="F38" s="147" t="str">
        <f>+VLOOKUP(A38,'Estado SCI'!$A$16:$I$59,9,0)</f>
        <v>Oportunidad de mejora</v>
      </c>
      <c r="G38" s="147">
        <f>+VLOOKUP(A38,'Estado SCI'!$A$16:$L$59,12,0)</f>
        <v>100.85123</v>
      </c>
      <c r="H38" s="147">
        <f t="shared" si="0"/>
        <v>36</v>
      </c>
      <c r="I38" s="147" t="str">
        <f>+IF(VLOOKUP(A38,'Estado SCI'!$A$16:$G$59,7,0)="","",VLOOKUP(A38,'Estado SCI'!$A$16:$G$59,7,0))</f>
        <v>En proceso</v>
      </c>
      <c r="J38" s="148">
        <f t="shared" si="2"/>
        <v>0.5</v>
      </c>
      <c r="K38" s="149">
        <f t="shared" si="1"/>
        <v>0.6</v>
      </c>
    </row>
    <row r="39" spans="1:11" x14ac:dyDescent="0.3">
      <c r="A39" s="147" t="s">
        <v>184</v>
      </c>
      <c r="B39" s="147" t="s">
        <v>97</v>
      </c>
      <c r="C39" s="147" t="s">
        <v>68</v>
      </c>
      <c r="D39" s="147" t="s">
        <v>48</v>
      </c>
      <c r="E39" s="147" t="s">
        <v>102</v>
      </c>
      <c r="F39" s="147" t="str">
        <f>+VLOOKUP(A39,'Estado SCI'!$A$16:$I$59,9,0)</f>
        <v>Oportunidad de mejora</v>
      </c>
      <c r="G39" s="147">
        <f>+VLOOKUP(A39,'Estado SCI'!$A$16:$L$59,12,0)</f>
        <v>100.85123400000001</v>
      </c>
      <c r="H39" s="147">
        <f t="shared" si="0"/>
        <v>37</v>
      </c>
      <c r="I39" s="147" t="str">
        <f>+IF(VLOOKUP(A39,'Estado SCI'!$A$16:$G$59,7,0)="","",VLOOKUP(A39,'Estado SCI'!$A$16:$G$59,7,0))</f>
        <v>En proceso</v>
      </c>
      <c r="J39" s="148">
        <f t="shared" si="2"/>
        <v>0.5</v>
      </c>
      <c r="K39" s="149">
        <f t="shared" si="1"/>
        <v>0.6</v>
      </c>
    </row>
    <row r="40" spans="1:11" x14ac:dyDescent="0.3">
      <c r="A40" s="147" t="s">
        <v>185</v>
      </c>
      <c r="B40" s="147" t="s">
        <v>97</v>
      </c>
      <c r="C40" s="147" t="s">
        <v>68</v>
      </c>
      <c r="D40" s="147" t="s">
        <v>50</v>
      </c>
      <c r="E40" s="147" t="s">
        <v>105</v>
      </c>
      <c r="F40" s="147" t="str">
        <f>+VLOOKUP(A40,'Estado SCI'!$A$16:$I$59,9,0)</f>
        <v>Mantenimiento del control</v>
      </c>
      <c r="G40" s="147">
        <f>+VLOOKUP(A40,'Estado SCI'!$A$16:$L$59,12,0)</f>
        <v>120.8512345</v>
      </c>
      <c r="H40" s="147">
        <f t="shared" si="0"/>
        <v>44</v>
      </c>
      <c r="I40" s="147" t="str">
        <f>+IF(VLOOKUP(A40,'Estado SCI'!$A$16:$G$59,7,0)="","",VLOOKUP(A40,'Estado SCI'!$A$16:$G$59,7,0))</f>
        <v>Si</v>
      </c>
      <c r="J40" s="148">
        <f t="shared" si="2"/>
        <v>1</v>
      </c>
      <c r="K40" s="149">
        <f t="shared" si="1"/>
        <v>0.6</v>
      </c>
    </row>
    <row r="41" spans="1:11" x14ac:dyDescent="0.3">
      <c r="A41" s="147" t="s">
        <v>186</v>
      </c>
      <c r="B41" s="147" t="s">
        <v>97</v>
      </c>
      <c r="C41" s="147" t="s">
        <v>68</v>
      </c>
      <c r="D41" s="147" t="s">
        <v>34</v>
      </c>
      <c r="E41" s="147" t="s">
        <v>108</v>
      </c>
      <c r="F41" s="147" t="str">
        <f>+VLOOKUP(A41,'Estado SCI'!$A$16:$I$59,9,0)</f>
        <v>Oportunidad de mejora</v>
      </c>
      <c r="G41" s="147">
        <f>+VLOOKUP(A41,'Estado SCI'!$A$16:$L$59,12,0)</f>
        <v>100.85123455999999</v>
      </c>
      <c r="H41" s="147">
        <f t="shared" si="0"/>
        <v>38</v>
      </c>
      <c r="I41" s="147" t="str">
        <f>+IF(VLOOKUP(A41,'Estado SCI'!$A$16:$G$59,7,0)="","",VLOOKUP(A41,'Estado SCI'!$A$16:$G$59,7,0))</f>
        <v>En proceso</v>
      </c>
      <c r="J41" s="148">
        <f t="shared" si="2"/>
        <v>0.5</v>
      </c>
      <c r="K41" s="149">
        <f t="shared" si="1"/>
        <v>0.6</v>
      </c>
    </row>
    <row r="42" spans="1:11" x14ac:dyDescent="0.3">
      <c r="A42" s="147" t="s">
        <v>187</v>
      </c>
      <c r="B42" s="147" t="s">
        <v>97</v>
      </c>
      <c r="C42" s="147" t="s">
        <v>73</v>
      </c>
      <c r="D42" s="147" t="s">
        <v>37</v>
      </c>
      <c r="E42" s="147" t="s">
        <v>109</v>
      </c>
      <c r="F42" s="147" t="str">
        <f>+VLOOKUP(A42,'Estado SCI'!$A$16:$I$59,9,0)</f>
        <v>Oportunidad de mejora</v>
      </c>
      <c r="G42" s="147">
        <f>+VLOOKUP(A42,'Estado SCI'!$A$16:$L$59,12,0)</f>
        <v>100.85123456700001</v>
      </c>
      <c r="H42" s="147">
        <f t="shared" si="0"/>
        <v>39</v>
      </c>
      <c r="I42" s="147" t="str">
        <f>+IF(VLOOKUP(A42,'Estado SCI'!$A$16:$G$59,7,0)="","",VLOOKUP(A42,'Estado SCI'!$A$16:$G$59,7,0))</f>
        <v>En proceso</v>
      </c>
      <c r="J42" s="148">
        <f t="shared" si="2"/>
        <v>0.5</v>
      </c>
      <c r="K42" s="149">
        <f t="shared" si="1"/>
        <v>0.6</v>
      </c>
    </row>
    <row r="43" spans="1:11" x14ac:dyDescent="0.3">
      <c r="A43" s="147" t="s">
        <v>188</v>
      </c>
      <c r="B43" s="147" t="s">
        <v>97</v>
      </c>
      <c r="C43" s="147" t="s">
        <v>73</v>
      </c>
      <c r="D43" s="147" t="s">
        <v>40</v>
      </c>
      <c r="E43" s="147" t="s">
        <v>110</v>
      </c>
      <c r="F43" s="147" t="str">
        <f>+VLOOKUP(A43,'Estado SCI'!$A$16:$I$59,9,0)</f>
        <v>Oportunidad de mejora</v>
      </c>
      <c r="G43" s="147">
        <f>+VLOOKUP(A43,'Estado SCI'!$A$16:$L$59,12,0)</f>
        <v>100.85123456780001</v>
      </c>
      <c r="H43" s="147">
        <f t="shared" si="0"/>
        <v>40</v>
      </c>
      <c r="I43" s="147" t="str">
        <f>+IF(VLOOKUP(A43,'Estado SCI'!$A$16:$G$59,7,0)="","",VLOOKUP(A43,'Estado SCI'!$A$16:$G$59,7,0))</f>
        <v>En proceso</v>
      </c>
      <c r="J43" s="148">
        <f t="shared" si="2"/>
        <v>0.5</v>
      </c>
      <c r="K43" s="149">
        <f t="shared" si="1"/>
        <v>0.6</v>
      </c>
    </row>
    <row r="44" spans="1:11" x14ac:dyDescent="0.3">
      <c r="A44" s="147" t="s">
        <v>189</v>
      </c>
      <c r="B44" s="147" t="s">
        <v>97</v>
      </c>
      <c r="C44" s="147" t="s">
        <v>73</v>
      </c>
      <c r="D44" s="147" t="s">
        <v>42</v>
      </c>
      <c r="E44" s="147" t="s">
        <v>111</v>
      </c>
      <c r="F44" s="147" t="str">
        <f>+VLOOKUP(A44,'Estado SCI'!$A$16:$I$59,9,0)</f>
        <v>Oportunidad de mejora</v>
      </c>
      <c r="G44" s="147">
        <f>+VLOOKUP(A44,'Estado SCI'!$A$16:$L$59,12,0)</f>
        <v>100.85123456789</v>
      </c>
      <c r="H44" s="147">
        <f t="shared" si="0"/>
        <v>41</v>
      </c>
      <c r="I44" s="147" t="str">
        <f>+IF(VLOOKUP(A44,'Estado SCI'!$A$16:$G$59,7,0)="","",VLOOKUP(A44,'Estado SCI'!$A$16:$G$59,7,0))</f>
        <v>En proceso</v>
      </c>
      <c r="J44" s="148">
        <f t="shared" si="2"/>
        <v>0.5</v>
      </c>
      <c r="K44" s="149">
        <f t="shared" si="1"/>
        <v>0.6</v>
      </c>
    </row>
    <row r="45" spans="1:11" x14ac:dyDescent="0.3">
      <c r="A45" s="147" t="s">
        <v>190</v>
      </c>
      <c r="B45" s="147" t="s">
        <v>97</v>
      </c>
      <c r="C45" s="147" t="s">
        <v>73</v>
      </c>
      <c r="D45" s="147" t="s">
        <v>44</v>
      </c>
      <c r="E45" s="147" t="s">
        <v>112</v>
      </c>
      <c r="F45" s="147" t="str">
        <f>+VLOOKUP(A45,'Estado SCI'!$A$16:$I$59,9,0)</f>
        <v>Oportunidad de mejora</v>
      </c>
      <c r="G45" s="147">
        <f>+VLOOKUP(A45,'Estado SCI'!$A$16:$L$59,12,0)</f>
        <v>100.851234567891</v>
      </c>
      <c r="H45" s="147">
        <f t="shared" si="0"/>
        <v>42</v>
      </c>
      <c r="I45" s="147" t="str">
        <f>+IF(VLOOKUP(A45,'Estado SCI'!$A$16:$G$59,7,0)="","",VLOOKUP(A45,'Estado SCI'!$A$16:$G$59,7,0))</f>
        <v>En proceso</v>
      </c>
      <c r="J45" s="148">
        <f t="shared" si="2"/>
        <v>0.5</v>
      </c>
      <c r="K45" s="149">
        <f t="shared" si="1"/>
        <v>0.6</v>
      </c>
    </row>
  </sheetData>
  <sheetProtection algorithmName="SHA-512" hashValue="eXgkKlTi9xJKAI7t6Aeb2RaFpkfyF43pI2BIhtxDc7hsl0SqLK8I4Wc7jbZwC5kw3uyIHOBIUXRnh5cC70LKYA==" saltValue="AxKzX6Ar80vT7acQV8rFpQ==" spinCount="100000" sheet="1" objects="1" scenarios="1" selectLockedCells="1"/>
  <autoFilter ref="A1:K45" xr:uid="{00000000-0009-0000-0000-000004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Estado SCI</vt:lpstr>
      <vt:lpstr>Análisis Resultados</vt:lpstr>
      <vt:lpstr>Conclusión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 Juntas Piso 6</dc:creator>
  <cp:keywords/>
  <dc:description/>
  <cp:lastModifiedBy>Mauricio Ramos</cp:lastModifiedBy>
  <cp:revision/>
  <dcterms:created xsi:type="dcterms:W3CDTF">2020-04-28T13:58:09Z</dcterms:created>
  <dcterms:modified xsi:type="dcterms:W3CDTF">2023-03-03T15:12:30Z</dcterms:modified>
  <cp:category/>
  <cp:contentStatus/>
</cp:coreProperties>
</file>